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autoCompressPictures="0" defaultThemeVersion="124226"/>
  <mc:AlternateContent xmlns:mc="http://schemas.openxmlformats.org/markup-compatibility/2006">
    <mc:Choice Requires="x15">
      <x15ac:absPath xmlns:x15ac="http://schemas.microsoft.com/office/spreadsheetml/2010/11/ac" url="E:\ОМК\"/>
    </mc:Choice>
  </mc:AlternateContent>
  <xr:revisionPtr revIDLastSave="0" documentId="13_ncr:1_{22113FAE-1A44-43B9-951A-046EF00451DD}" xr6:coauthVersionLast="45" xr6:coauthVersionMax="45" xr10:uidLastSave="{00000000-0000-0000-0000-000000000000}"/>
  <workbookProtection workbookAlgorithmName="SHA-512" workbookHashValue="VDsBMbRKuNdUAzuc/pxXkrPjtyq5BusZ+7SRr0jsR2EJQEM700d0cdAkxs9FmEtOvlu5nWqabEtmx/I8CJUXug==" workbookSaltValue="o5CMqKZDaDh7zw8VWe4Inw==" workbookSpinCount="100000" lockStructure="1"/>
  <bookViews>
    <workbookView xWindow="-120" yWindow="-120" windowWidth="20730" windowHeight="11160" tabRatio="831" activeTab="4" xr2:uid="{00000000-000D-0000-FFFF-FFFF00000000}"/>
  </bookViews>
  <sheets>
    <sheet name="Summary" sheetId="4" r:id="rId1"/>
    <sheet name="Budget for NGO" sheetId="9" r:id="rId2"/>
    <sheet name="GenAssumptions" sheetId="2" r:id="rId3"/>
    <sheet name="Services&amp;goods" sheetId="1" r:id="rId4"/>
    <sheet name="Support and Dev." sheetId="5" r:id="rId5"/>
    <sheet name="Support and Dev. (2)" sheetId="6" state="hidden" r:id="rId6"/>
    <sheet name="Commodities" sheetId="3" state="hidden" r:id="rId7"/>
    <sheet name="Лист1" sheetId="7"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Key1" localSheetId="1" hidden="1">#REF!</definedName>
    <definedName name="_Key1" localSheetId="6" hidden="1">#REF!</definedName>
    <definedName name="_Key1" localSheetId="4" hidden="1">#REF!</definedName>
    <definedName name="_Key1" localSheetId="5" hidden="1">#REF!</definedName>
    <definedName name="_Key1" hidden="1">#REF!</definedName>
    <definedName name="_Order1" hidden="1">255</definedName>
    <definedName name="_Sort" localSheetId="1" hidden="1">#REF!</definedName>
    <definedName name="_Sort" localSheetId="6" hidden="1">#REF!</definedName>
    <definedName name="_Sort" localSheetId="4" hidden="1">#REF!</definedName>
    <definedName name="_Sort" localSheetId="5" hidden="1">#REF!</definedName>
    <definedName name="_Sort" hidden="1">#REF!</definedName>
    <definedName name="_xlnm._FilterDatabase" localSheetId="3" hidden="1">'Services&amp;goods'!$B$4:$Z$55</definedName>
    <definedName name="_xlnm._FilterDatabase" localSheetId="4" hidden="1">'Support and Dev.'!$A$4:$R$6</definedName>
    <definedName name="_xlnm._FilterDatabase" localSheetId="5" hidden="1">'Support and Dev. (2)'!$A$4:$R$15</definedName>
    <definedName name="CmpAcroSelected">INDIRECT(ADDRESS(CmpSelectedOnRow,2,1,1,"CatCmp"))</definedName>
    <definedName name="CmpSelectedOnRow">NA()</definedName>
    <definedName name="co">[1]Reference!$D$21</definedName>
    <definedName name="CO_Report_Period" localSheetId="6">'[2]Summary Financial Report'!$C$5</definedName>
    <definedName name="CO_Report_Period">'[2]Summary Financial Report'!$C$5</definedName>
    <definedName name="Commodities">GenAssumptions!$C$37:$C$67</definedName>
    <definedName name="Component" localSheetId="6">'[3]Rd10 Ph2 Researches BAs'!$A$330:$A$332</definedName>
    <definedName name="Component">'[3]Rd10 Ph2 Researches BAs'!$A$330:$A$332</definedName>
    <definedName name="Components" localSheetId="1">#REF!</definedName>
    <definedName name="Components" localSheetId="6">#REF!</definedName>
    <definedName name="Components" localSheetId="4">#REF!</definedName>
    <definedName name="Components" localSheetId="5">#REF!</definedName>
    <definedName name="Components">#REF!</definedName>
    <definedName name="ComponentSelected">'[4]Concept Note'!$C$5</definedName>
    <definedName name="CorCoef" localSheetId="1">#REF!</definedName>
    <definedName name="CorCoef" localSheetId="6">#REF!</definedName>
    <definedName name="CorCoef" localSheetId="4">#REF!</definedName>
    <definedName name="CorCoef" localSheetId="5">#REF!</definedName>
    <definedName name="CorCoef">#REF!</definedName>
    <definedName name="Cost_Cat" localSheetId="1">#REF!</definedName>
    <definedName name="Cost_Cat" localSheetId="6">#REF!</definedName>
    <definedName name="Cost_Cat" localSheetId="4">#REF!</definedName>
    <definedName name="Cost_Cat" localSheetId="5">#REF!</definedName>
    <definedName name="Cost_Cat">#REF!</definedName>
    <definedName name="Cost_category" localSheetId="6">'[5]cost category'!#REF!</definedName>
    <definedName name="Cost_Category">[6]Definitions!$F$3:$F$15</definedName>
    <definedName name="Costs" localSheetId="6">'[7]1. Budget'!$A$5:$A$60</definedName>
    <definedName name="Costs">'[7]1. Budget'!$A$5:$A$60</definedName>
    <definedName name="countrylo">[1]Budget!$D$4</definedName>
    <definedName name="cTotalCost" localSheetId="1">#REF!</definedName>
    <definedName name="cTotalCost" localSheetId="6">[8]OB1!#REF!</definedName>
    <definedName name="cTotalCost" localSheetId="4">#REF!</definedName>
    <definedName name="cTotalCost" localSheetId="5">#REF!</definedName>
    <definedName name="cTotalCost">#REF!</definedName>
    <definedName name="Cur" localSheetId="1">#REF!</definedName>
    <definedName name="Cur" localSheetId="6">#REF!</definedName>
    <definedName name="Cur" localSheetId="4">#REF!</definedName>
    <definedName name="Cur" localSheetId="5">#REF!</definedName>
    <definedName name="Cur">#REF!</definedName>
    <definedName name="curr">[1]Reference!$D$25</definedName>
    <definedName name="Currency" localSheetId="6">'[9]Budget Summary'!$A$214:$A$215</definedName>
    <definedName name="Currency">'[9]Budget Summary'!$A$214:$A$215</definedName>
    <definedName name="currnote">'[10]QR-1 Summary'!$G$11</definedName>
    <definedName name="cYear1" localSheetId="1">#REF!</definedName>
    <definedName name="cYear1" localSheetId="6">#REF!</definedName>
    <definedName name="cYear1" localSheetId="4">#REF!</definedName>
    <definedName name="cYear1" localSheetId="5">#REF!</definedName>
    <definedName name="cYear1">#REF!</definedName>
    <definedName name="cYear2" localSheetId="1">#REF!</definedName>
    <definedName name="cYear2" localSheetId="6">[8]OB1!#REF!</definedName>
    <definedName name="cYear2" localSheetId="4">#REF!</definedName>
    <definedName name="cYear2" localSheetId="5">#REF!</definedName>
    <definedName name="cYear2">#REF!</definedName>
    <definedName name="cYear3" localSheetId="1">#REF!</definedName>
    <definedName name="cYear3" localSheetId="6">[8]OB1!#REF!</definedName>
    <definedName name="cYear3" localSheetId="4">#REF!</definedName>
    <definedName name="cYear3" localSheetId="5">#REF!</definedName>
    <definedName name="cYear3">#REF!</definedName>
    <definedName name="cYear4" localSheetId="1">#REF!</definedName>
    <definedName name="cYear4" localSheetId="6">[8]OB1!#REF!</definedName>
    <definedName name="cYear4" localSheetId="4">#REF!</definedName>
    <definedName name="cYear4" localSheetId="5">#REF!</definedName>
    <definedName name="cYear4">#REF!</definedName>
    <definedName name="cYear5" localSheetId="1">#REF!</definedName>
    <definedName name="cYear5" localSheetId="6">[8]OB1!#REF!</definedName>
    <definedName name="cYear5" localSheetId="4">#REF!</definedName>
    <definedName name="cYear5" localSheetId="5">#REF!</definedName>
    <definedName name="cYear5">#REF!</definedName>
    <definedName name="D4T_200">'[11]What-if'!$I$18</definedName>
    <definedName name="D4T_30_60">'[11]What-if'!$I$19</definedName>
    <definedName name="D4T_40_100">'[11]What-if'!$I$20</definedName>
    <definedName name="DDI_60">'[11]What-if'!$I$8</definedName>
    <definedName name="Developer" localSheetId="6">[12]names!$F$14:$F$20</definedName>
    <definedName name="Developer">[13]names!$F$14:$F$20</definedName>
    <definedName name="Disease_components" localSheetId="6">[14]Definitions!$A$2:$D$2</definedName>
    <definedName name="Disease_components">[14]Definitions!$A$2:$D$2</definedName>
    <definedName name="Donor">'[15]Donor A-Z Listing'!$A$2:$A$70</definedName>
    <definedName name="dop" localSheetId="6">[16]Definitions!$C$30:$C$54</definedName>
    <definedName name="dop">[17]Definitions!$C$30:$C$54</definedName>
    <definedName name="drt" localSheetId="1">[18]OB2!#REF!,[18]OB2!$G$1:$G$65536,[18]OB2!$H$1:$H$65536,[18]OB2!$Q$1:$Q$65536</definedName>
    <definedName name="drt" localSheetId="6">[18]OB2!#REF!,[18]OB2!$G$1:$G$65536,[18]OB2!$H$1:$H$65536,[18]OB2!$Q$1:$Q$65536</definedName>
    <definedName name="drt" localSheetId="4">[18]OB2!#REF!,[18]OB2!$G$1:$G$65536,[18]OB2!$H$1:$H$65536,[18]OB2!$Q$1:$Q$65536</definedName>
    <definedName name="drt" localSheetId="5">[18]OB2!#REF!,[18]OB2!$G$1:$G$65536,[18]OB2!$H$1:$H$65536,[18]OB2!$Q$1:$Q$65536</definedName>
    <definedName name="drt">[18]OB2!#REF!,[18]OB2!$G$1:$G$65536,[18]OB2!$H$1:$H$65536,[18]OB2!$Q$1:$Q$65536</definedName>
    <definedName name="EFRCC">'[19]Q19-EFR'!$B$2430:$B$2440</definedName>
    <definedName name="EFV_30">'[11]What-if'!$I$9</definedName>
    <definedName name="er" localSheetId="1">#REF!</definedName>
    <definedName name="er" localSheetId="6">#REF!</definedName>
    <definedName name="er" localSheetId="4">#REF!</definedName>
    <definedName name="er" localSheetId="5">#REF!</definedName>
    <definedName name="er">#REF!</definedName>
    <definedName name="ES">[20]HIV!$F$4</definedName>
    <definedName name="EXC" localSheetId="1">#REF!</definedName>
    <definedName name="EXC" localSheetId="6">#REF!</definedName>
    <definedName name="EXC" localSheetId="4">#REF!</definedName>
    <definedName name="EXC" localSheetId="5">#REF!</definedName>
    <definedName name="EXC">#REF!</definedName>
    <definedName name="Excel_BuiltIn__FilterDatabase_14" localSheetId="1">#REF!</definedName>
    <definedName name="Excel_BuiltIn__FilterDatabase_14" localSheetId="6">#REF!</definedName>
    <definedName name="Excel_BuiltIn__FilterDatabase_14" localSheetId="4">#REF!</definedName>
    <definedName name="Excel_BuiltIn__FilterDatabase_14" localSheetId="5">#REF!</definedName>
    <definedName name="Excel_BuiltIn__FilterDatabase_14">#REF!</definedName>
    <definedName name="Excel_BuiltIn__FilterDatabase_3" localSheetId="1">#REF!</definedName>
    <definedName name="Excel_BuiltIn__FilterDatabase_3" localSheetId="4">#REF!</definedName>
    <definedName name="Excel_BuiltIn__FilterDatabase_3" localSheetId="5">#REF!</definedName>
    <definedName name="Excel_BuiltIn__FilterDatabase_3">#REF!</definedName>
    <definedName name="ExpType" localSheetId="6">'[21]Budget Summary'!$A$3:$A$42</definedName>
    <definedName name="ExpType">'[21]Budget Summary'!$A$3:$A$42</definedName>
    <definedName name="EXR" localSheetId="1">#REF!</definedName>
    <definedName name="EXR" localSheetId="6">#REF!</definedName>
    <definedName name="EXR" localSheetId="4">#REF!</definedName>
    <definedName name="EXR" localSheetId="5">#REF!</definedName>
    <definedName name="EXR">#REF!</definedName>
    <definedName name="factor">[1]Reference!$D$27</definedName>
    <definedName name="FB">[22]Pricing!$C$3</definedName>
    <definedName name="FEXRATE" localSheetId="1">#REF!</definedName>
    <definedName name="FEXRATE" localSheetId="6">#REF!</definedName>
    <definedName name="FEXRATE" localSheetId="4">#REF!</definedName>
    <definedName name="FEXRATE" localSheetId="5">#REF!</definedName>
    <definedName name="FEXRATE">#REF!</definedName>
    <definedName name="General" localSheetId="1">'[23]1.Indicator and targets'!#REF!</definedName>
    <definedName name="General" localSheetId="6">'[23]1.Indicator and targets'!#REF!</definedName>
    <definedName name="General" localSheetId="4">'[23]1.Indicator and targets'!#REF!</definedName>
    <definedName name="General" localSheetId="5">'[23]1.Indicator and targets'!#REF!</definedName>
    <definedName name="General">'[23]1.Indicator and targets'!#REF!</definedName>
    <definedName name="Grantcycle" localSheetId="1">[24]Definitions!#REF!</definedName>
    <definedName name="Grantcycle" localSheetId="4">[24]Definitions!#REF!</definedName>
    <definedName name="Grantcycle" localSheetId="5">[24]Definitions!#REF!</definedName>
    <definedName name="Grantcycle">[24]Definitions!#REF!</definedName>
    <definedName name="Group">[25]names!$D$14:$D$17</definedName>
    <definedName name="head6" localSheetId="1">[1]Budget!#REF!</definedName>
    <definedName name="head6" localSheetId="4">[1]Budget!#REF!</definedName>
    <definedName name="head6" localSheetId="5">[1]Budget!#REF!</definedName>
    <definedName name="head6">[1]Budget!#REF!</definedName>
    <definedName name="head8" localSheetId="1">[1]Budget!#REF!</definedName>
    <definedName name="head8" localSheetId="4">[1]Budget!#REF!</definedName>
    <definedName name="head8" localSheetId="5">[1]Budget!#REF!</definedName>
    <definedName name="head8">[1]Budget!#REF!</definedName>
    <definedName name="Heading1" localSheetId="1">'[23]1.Indicator and targets'!#REF!</definedName>
    <definedName name="Heading1" localSheetId="4">'[23]1.Indicator and targets'!#REF!</definedName>
    <definedName name="Heading1" localSheetId="5">'[23]1.Indicator and targets'!#REF!</definedName>
    <definedName name="Heading1">'[23]1.Indicator and targets'!#REF!</definedName>
    <definedName name="Headings1" localSheetId="1">#REF!</definedName>
    <definedName name="Headings1" localSheetId="6">#REF!</definedName>
    <definedName name="Headings1" localSheetId="4">#REF!</definedName>
    <definedName name="Headings1" localSheetId="5">#REF!</definedName>
    <definedName name="Headings1">#REF!</definedName>
    <definedName name="HIVSDA" localSheetId="6">'[26]Memo HIV'!$A$2:$A$26</definedName>
    <definedName name="HIVSDA">[20]HIV!$A$2:$A$34</definedName>
    <definedName name="HIVSource">[20]HIV!$E$2:$E$19</definedName>
    <definedName name="Hot">[25]names!$F$3:$F$10</definedName>
    <definedName name="hours_m">166.67</definedName>
    <definedName name="hours_y">1833</definedName>
    <definedName name="HSSSDA">[20]HSS!$A$2:$A$18</definedName>
    <definedName name="HSSSource">[20]HSS!$D$2:$D$31</definedName>
    <definedName name="Human_Resources" localSheetId="1">#REF!</definedName>
    <definedName name="Human_Resources" localSheetId="6">#REF!</definedName>
    <definedName name="Human_Resources" localSheetId="4">#REF!</definedName>
    <definedName name="Human_Resources" localSheetId="5">#REF!</definedName>
    <definedName name="Human_Resources">#REF!</definedName>
    <definedName name="idafee" localSheetId="1">#REF!</definedName>
    <definedName name="idafee" localSheetId="6">#REF!</definedName>
    <definedName name="idafee" localSheetId="4">#REF!</definedName>
    <definedName name="idafee" localSheetId="5">#REF!</definedName>
    <definedName name="idafee">#REF!</definedName>
    <definedName name="IEA3_4_2" localSheetId="1">#REF!</definedName>
    <definedName name="IEA3_4_2" localSheetId="6">#REF!</definedName>
    <definedName name="IEA3_4_2" localSheetId="4">#REF!</definedName>
    <definedName name="IEA3_4_2" localSheetId="5">#REF!</definedName>
    <definedName name="IEA3_4_2">#REF!</definedName>
    <definedName name="IEA3_4_4" localSheetId="1">#REF!</definedName>
    <definedName name="IEA3_4_4" localSheetId="4">#REF!</definedName>
    <definedName name="IEA3_4_4" localSheetId="5">#REF!</definedName>
    <definedName name="IEA3_4_4">#REF!</definedName>
    <definedName name="IEA3_4_5" localSheetId="1">#REF!</definedName>
    <definedName name="IEA3_4_5" localSheetId="4">#REF!</definedName>
    <definedName name="IEA3_4_5" localSheetId="5">#REF!</definedName>
    <definedName name="IEA3_4_5">#REF!</definedName>
    <definedName name="IEA3_4_6" localSheetId="1">#REF!</definedName>
    <definedName name="IEA3_4_6" localSheetId="4">#REF!</definedName>
    <definedName name="IEA3_4_6" localSheetId="5">#REF!</definedName>
    <definedName name="IEA3_4_6">#REF!</definedName>
    <definedName name="IEA4_4_2" localSheetId="1">#REF!</definedName>
    <definedName name="IEA4_4_2" localSheetId="4">#REF!</definedName>
    <definedName name="IEA4_4_2" localSheetId="5">#REF!</definedName>
    <definedName name="IEA4_4_2">#REF!</definedName>
    <definedName name="IEA4_4_4" localSheetId="1">#REF!</definedName>
    <definedName name="IEA4_4_4" localSheetId="4">#REF!</definedName>
    <definedName name="IEA4_4_4" localSheetId="5">#REF!</definedName>
    <definedName name="IEA4_4_4">#REF!</definedName>
    <definedName name="IEA4_4_6" localSheetId="1">#REF!</definedName>
    <definedName name="IEA4_4_6" localSheetId="4">#REF!</definedName>
    <definedName name="IEA4_4_6" localSheetId="5">#REF!</definedName>
    <definedName name="IEA4_4_6">#REF!</definedName>
    <definedName name="IEA5_4_2" localSheetId="1">#REF!</definedName>
    <definedName name="IEA5_4_2" localSheetId="4">#REF!</definedName>
    <definedName name="IEA5_4_2" localSheetId="5">#REF!</definedName>
    <definedName name="IEA5_4_2">#REF!</definedName>
    <definedName name="IEA5_4_4" localSheetId="1">#REF!</definedName>
    <definedName name="IEA5_4_4" localSheetId="4">#REF!</definedName>
    <definedName name="IEA5_4_4" localSheetId="5">#REF!</definedName>
    <definedName name="IEA5_4_4">#REF!</definedName>
    <definedName name="IEA5_4_6" localSheetId="1">#REF!</definedName>
    <definedName name="IEA5_4_6" localSheetId="4">#REF!</definedName>
    <definedName name="IEA5_4_6" localSheetId="5">#REF!</definedName>
    <definedName name="IEA5_4_6">#REF!</definedName>
    <definedName name="impact" localSheetId="1">#REF!</definedName>
    <definedName name="impact" localSheetId="4">#REF!</definedName>
    <definedName name="impact" localSheetId="5">#REF!</definedName>
    <definedName name="impact">#REF!</definedName>
    <definedName name="impact_1" localSheetId="1">#REF!</definedName>
    <definedName name="impact_1" localSheetId="4">#REF!</definedName>
    <definedName name="impact_1" localSheetId="5">#REF!</definedName>
    <definedName name="impact_1">#REF!</definedName>
    <definedName name="IMPLEMENTATION_PHASE" localSheetId="1">[24]Definitions!#REF!</definedName>
    <definedName name="IMPLEMENTATION_PHASE" localSheetId="4">[24]Definitions!#REF!</definedName>
    <definedName name="IMPLEMENTATION_PHASE" localSheetId="5">[24]Definitions!#REF!</definedName>
    <definedName name="IMPLEMENTATION_PHASE">[24]Definitions!#REF!</definedName>
    <definedName name="Incr" localSheetId="1">#REF!</definedName>
    <definedName name="Incr" localSheetId="6">#REF!</definedName>
    <definedName name="Incr" localSheetId="4">#REF!</definedName>
    <definedName name="Incr" localSheetId="5">#REF!</definedName>
    <definedName name="Incr">#REF!</definedName>
    <definedName name="IndicatorTypesList" localSheetId="1">#REF!</definedName>
    <definedName name="IndicatorTypesList" localSheetId="6">[27]SDAs_impact_datasources!$D$2:$D$3</definedName>
    <definedName name="IndicatorTypesList" localSheetId="4">#REF!</definedName>
    <definedName name="IndicatorTypesList" localSheetId="5">#REF!</definedName>
    <definedName name="IndicatorTypesList">#REF!</definedName>
    <definedName name="IndicatorTypesList_1" localSheetId="1">#REF!</definedName>
    <definedName name="IndicatorTypesList_1" localSheetId="6">#REF!</definedName>
    <definedName name="IndicatorTypesList_1" localSheetId="4">#REF!</definedName>
    <definedName name="IndicatorTypesList_1" localSheetId="5">#REF!</definedName>
    <definedName name="IndicatorTypesList_1">#REF!</definedName>
    <definedName name="JULIE">[1]Budget!$D$4</definedName>
    <definedName name="JULIE2">[1]Reference!$D$25</definedName>
    <definedName name="kategoria">'[28]Таблиця витрат'!$C$7:$C$22</definedName>
    <definedName name="LAM_240">'[11]What-if'!$I$10</definedName>
    <definedName name="LAM_60">'[11]What-if'!$I$11</definedName>
    <definedName name="lang">[1]Reference!$B$36</definedName>
    <definedName name="LangOffset">[4]Translations!$C$1</definedName>
    <definedName name="Language">[4]Framework!$B$2</definedName>
    <definedName name="LFA_SDA" localSheetId="1">'[26]LFA_Programmatic Progress_1B'!#REF!</definedName>
    <definedName name="LFA_SDA" localSheetId="4">'[26]LFA_Programmatic Progress_1B'!#REF!</definedName>
    <definedName name="LFA_SDA" localSheetId="5">'[26]LFA_Programmatic Progress_1B'!#REF!</definedName>
    <definedName name="LFA_SDA">'[26]LFA_Programmatic Progress_1B'!#REF!</definedName>
    <definedName name="LFASig" localSheetId="1">#REF!</definedName>
    <definedName name="LFASig" localSheetId="6">#REF!</definedName>
    <definedName name="LFASig" localSheetId="4">#REF!</definedName>
    <definedName name="LFASig" localSheetId="5">#REF!</definedName>
    <definedName name="LFASig">#REF!</definedName>
    <definedName name="line_5x" localSheetId="1">'[29]OB1 D'!#REF!</definedName>
    <definedName name="line_5x" localSheetId="6">'[29]OB1 D'!#REF!</definedName>
    <definedName name="line_5x" localSheetId="4">'[29]OB1 D'!#REF!</definedName>
    <definedName name="line_5x" localSheetId="5">'[29]OB1 D'!#REF!</definedName>
    <definedName name="line_5x">'[29]OB1 D'!#REF!</definedName>
    <definedName name="line1_1" localSheetId="1">#REF!</definedName>
    <definedName name="line1_1" localSheetId="6">#REF!</definedName>
    <definedName name="line1_1" localSheetId="4">#REF!</definedName>
    <definedName name="line1_1" localSheetId="5">#REF!</definedName>
    <definedName name="line1_1">#REF!</definedName>
    <definedName name="line1_2" localSheetId="1">#REF!</definedName>
    <definedName name="line1_2" localSheetId="6">#REF!</definedName>
    <definedName name="line1_2" localSheetId="4">#REF!</definedName>
    <definedName name="line1_2" localSheetId="5">#REF!</definedName>
    <definedName name="line1_2">#REF!</definedName>
    <definedName name="line1_3" localSheetId="1">#REF!</definedName>
    <definedName name="line1_3" localSheetId="6">#REF!</definedName>
    <definedName name="line1_3" localSheetId="4">#REF!</definedName>
    <definedName name="line1_3" localSheetId="5">#REF!</definedName>
    <definedName name="line1_3">#REF!</definedName>
    <definedName name="line1_4" localSheetId="1">#REF!</definedName>
    <definedName name="line1_4" localSheetId="4">#REF!</definedName>
    <definedName name="line1_4" localSheetId="5">#REF!</definedName>
    <definedName name="line1_4">#REF!</definedName>
    <definedName name="line1_5" localSheetId="1">#REF!</definedName>
    <definedName name="line1_5" localSheetId="4">#REF!</definedName>
    <definedName name="line1_5" localSheetId="5">#REF!</definedName>
    <definedName name="line1_5">#REF!</definedName>
    <definedName name="line1_6" localSheetId="1">#REF!</definedName>
    <definedName name="line1_6" localSheetId="4">#REF!</definedName>
    <definedName name="line1_6" localSheetId="5">#REF!</definedName>
    <definedName name="line1_6">#REF!</definedName>
    <definedName name="line10_1" localSheetId="1">#REF!</definedName>
    <definedName name="line10_1" localSheetId="4">#REF!</definedName>
    <definedName name="line10_1" localSheetId="5">#REF!</definedName>
    <definedName name="line10_1">#REF!</definedName>
    <definedName name="line10_10" localSheetId="1">#REF!</definedName>
    <definedName name="line10_10" localSheetId="4">#REF!</definedName>
    <definedName name="line10_10" localSheetId="5">#REF!</definedName>
    <definedName name="line10_10">#REF!</definedName>
    <definedName name="line10_11" localSheetId="1">#REF!</definedName>
    <definedName name="line10_11" localSheetId="4">#REF!</definedName>
    <definedName name="line10_11" localSheetId="5">#REF!</definedName>
    <definedName name="line10_11">#REF!</definedName>
    <definedName name="line10_2" localSheetId="1">#REF!</definedName>
    <definedName name="line10_2" localSheetId="4">#REF!</definedName>
    <definedName name="line10_2" localSheetId="5">#REF!</definedName>
    <definedName name="line10_2">#REF!</definedName>
    <definedName name="line10_3" localSheetId="1">#REF!</definedName>
    <definedName name="line10_3" localSheetId="4">#REF!</definedName>
    <definedName name="line10_3" localSheetId="5">#REF!</definedName>
    <definedName name="line10_3">#REF!</definedName>
    <definedName name="line10_4" localSheetId="1">#REF!</definedName>
    <definedName name="line10_4" localSheetId="4">#REF!</definedName>
    <definedName name="line10_4" localSheetId="5">#REF!</definedName>
    <definedName name="line10_4">#REF!</definedName>
    <definedName name="line10_5" localSheetId="1">#REF!</definedName>
    <definedName name="line10_5" localSheetId="4">#REF!</definedName>
    <definedName name="line10_5" localSheetId="5">#REF!</definedName>
    <definedName name="line10_5">#REF!</definedName>
    <definedName name="line10_6" localSheetId="1">#REF!</definedName>
    <definedName name="line10_6" localSheetId="4">#REF!</definedName>
    <definedName name="line10_6" localSheetId="5">#REF!</definedName>
    <definedName name="line10_6">#REF!</definedName>
    <definedName name="line10_7" localSheetId="1">#REF!</definedName>
    <definedName name="line10_7" localSheetId="4">#REF!</definedName>
    <definedName name="line10_7" localSheetId="5">#REF!</definedName>
    <definedName name="line10_7">#REF!</definedName>
    <definedName name="line10_8" localSheetId="1">#REF!</definedName>
    <definedName name="line10_8" localSheetId="4">#REF!</definedName>
    <definedName name="line10_8" localSheetId="5">#REF!</definedName>
    <definedName name="line10_8">#REF!</definedName>
    <definedName name="line10_9" localSheetId="1">#REF!</definedName>
    <definedName name="line10_9" localSheetId="4">#REF!</definedName>
    <definedName name="line10_9" localSheetId="5">#REF!</definedName>
    <definedName name="line10_9">#REF!</definedName>
    <definedName name="line11_1" localSheetId="1">#REF!</definedName>
    <definedName name="line11_1" localSheetId="6">[8]OB4!#REF!</definedName>
    <definedName name="line11_1" localSheetId="4">#REF!</definedName>
    <definedName name="line11_1" localSheetId="5">#REF!</definedName>
    <definedName name="line11_1">#REF!</definedName>
    <definedName name="line11_2" localSheetId="1">#REF!</definedName>
    <definedName name="line11_2" localSheetId="6">[8]OB4!#REF!</definedName>
    <definedName name="line11_2" localSheetId="4">#REF!</definedName>
    <definedName name="line11_2" localSheetId="5">#REF!</definedName>
    <definedName name="line11_2">#REF!</definedName>
    <definedName name="line12_1" localSheetId="1">#REF!</definedName>
    <definedName name="line12_1" localSheetId="6">[8]OB4!#REF!</definedName>
    <definedName name="line12_1" localSheetId="4">#REF!</definedName>
    <definedName name="line12_1" localSheetId="5">#REF!</definedName>
    <definedName name="line12_1">#REF!</definedName>
    <definedName name="line12_2" localSheetId="1">#REF!</definedName>
    <definedName name="line12_2" localSheetId="4">#REF!</definedName>
    <definedName name="line12_2" localSheetId="5">#REF!</definedName>
    <definedName name="line12_2">#REF!</definedName>
    <definedName name="line12_3" localSheetId="1">#REF!</definedName>
    <definedName name="line12_3" localSheetId="4">#REF!</definedName>
    <definedName name="line12_3" localSheetId="5">#REF!</definedName>
    <definedName name="line12_3">#REF!</definedName>
    <definedName name="line12_4" localSheetId="1">#REF!</definedName>
    <definedName name="line12_4" localSheetId="4">#REF!</definedName>
    <definedName name="line12_4" localSheetId="5">#REF!</definedName>
    <definedName name="line12_4">#REF!</definedName>
    <definedName name="line13_1" localSheetId="1">#REF!</definedName>
    <definedName name="line13_1" localSheetId="4">#REF!</definedName>
    <definedName name="line13_1" localSheetId="5">#REF!</definedName>
    <definedName name="line13_1">#REF!</definedName>
    <definedName name="line13_2" localSheetId="1">#REF!</definedName>
    <definedName name="line13_2" localSheetId="4">#REF!</definedName>
    <definedName name="line13_2" localSheetId="5">#REF!</definedName>
    <definedName name="line13_2">#REF!</definedName>
    <definedName name="line13_3" localSheetId="1">#REF!</definedName>
    <definedName name="line13_3" localSheetId="4">#REF!</definedName>
    <definedName name="line13_3" localSheetId="5">#REF!</definedName>
    <definedName name="line13_3">#REF!</definedName>
    <definedName name="line13_4" localSheetId="1">#REF!</definedName>
    <definedName name="line13_4" localSheetId="4">#REF!</definedName>
    <definedName name="line13_4" localSheetId="5">#REF!</definedName>
    <definedName name="line13_4">#REF!</definedName>
    <definedName name="line14_1" localSheetId="1">#REF!</definedName>
    <definedName name="line14_1" localSheetId="4">#REF!</definedName>
    <definedName name="line14_1" localSheetId="5">#REF!</definedName>
    <definedName name="line14_1">#REF!</definedName>
    <definedName name="line14_2" localSheetId="1">#REF!</definedName>
    <definedName name="line14_2" localSheetId="4">#REF!</definedName>
    <definedName name="line14_2" localSheetId="5">#REF!</definedName>
    <definedName name="line14_2">#REF!</definedName>
    <definedName name="line14_3" localSheetId="1">#REF!</definedName>
    <definedName name="line14_3" localSheetId="4">#REF!</definedName>
    <definedName name="line14_3" localSheetId="5">#REF!</definedName>
    <definedName name="line14_3">#REF!</definedName>
    <definedName name="line14_4" localSheetId="1">#REF!</definedName>
    <definedName name="line14_4" localSheetId="6">[8]OB5!#REF!</definedName>
    <definedName name="line14_4" localSheetId="4">#REF!</definedName>
    <definedName name="line14_4" localSheetId="5">#REF!</definedName>
    <definedName name="line14_4">#REF!</definedName>
    <definedName name="line14_5" localSheetId="1">#REF!</definedName>
    <definedName name="line14_5" localSheetId="6">[8]OB5!#REF!</definedName>
    <definedName name="line14_5" localSheetId="4">#REF!</definedName>
    <definedName name="line14_5" localSheetId="5">#REF!</definedName>
    <definedName name="line14_5">#REF!</definedName>
    <definedName name="line2_1" localSheetId="1">#REF!</definedName>
    <definedName name="line2_1" localSheetId="4">#REF!</definedName>
    <definedName name="line2_1" localSheetId="5">#REF!</definedName>
    <definedName name="line2_1">#REF!</definedName>
    <definedName name="line2_2" localSheetId="1">#REF!</definedName>
    <definedName name="line2_2" localSheetId="4">#REF!</definedName>
    <definedName name="line2_2" localSheetId="5">#REF!</definedName>
    <definedName name="line2_2">#REF!</definedName>
    <definedName name="line3_1" localSheetId="1">#REF!</definedName>
    <definedName name="line3_1" localSheetId="4">#REF!</definedName>
    <definedName name="line3_1" localSheetId="5">#REF!</definedName>
    <definedName name="line3_1">#REF!</definedName>
    <definedName name="line3_2" localSheetId="1">#REF!</definedName>
    <definedName name="line3_2" localSheetId="4">#REF!</definedName>
    <definedName name="line3_2" localSheetId="5">#REF!</definedName>
    <definedName name="line3_2">#REF!</definedName>
    <definedName name="line3_3" localSheetId="1">#REF!</definedName>
    <definedName name="line3_3" localSheetId="4">#REF!</definedName>
    <definedName name="line3_3" localSheetId="5">#REF!</definedName>
    <definedName name="line3_3">#REF!</definedName>
    <definedName name="line3_4" localSheetId="1">#REF!</definedName>
    <definedName name="line3_4" localSheetId="4">#REF!</definedName>
    <definedName name="line3_4" localSheetId="5">#REF!</definedName>
    <definedName name="line3_4">#REF!</definedName>
    <definedName name="line3_5" localSheetId="1">#REF!</definedName>
    <definedName name="line3_5" localSheetId="4">#REF!</definedName>
    <definedName name="line3_5" localSheetId="5">#REF!</definedName>
    <definedName name="line3_5">#REF!</definedName>
    <definedName name="line3_6" localSheetId="1">#REF!</definedName>
    <definedName name="line3_6" localSheetId="4">#REF!</definedName>
    <definedName name="line3_6" localSheetId="5">#REF!</definedName>
    <definedName name="line3_6">#REF!</definedName>
    <definedName name="line3_7" localSheetId="1">#REF!</definedName>
    <definedName name="line3_7" localSheetId="4">#REF!</definedName>
    <definedName name="line3_7" localSheetId="5">#REF!</definedName>
    <definedName name="line3_7">#REF!</definedName>
    <definedName name="line4_1" localSheetId="1">#REF!</definedName>
    <definedName name="line4_1" localSheetId="4">#REF!</definedName>
    <definedName name="line4_1" localSheetId="5">#REF!</definedName>
    <definedName name="line4_1">#REF!</definedName>
    <definedName name="line4_2" localSheetId="1">#REF!</definedName>
    <definedName name="line4_2" localSheetId="4">#REF!</definedName>
    <definedName name="line4_2" localSheetId="5">#REF!</definedName>
    <definedName name="line4_2">#REF!</definedName>
    <definedName name="line4_3" localSheetId="1">#REF!</definedName>
    <definedName name="line4_3" localSheetId="4">#REF!</definedName>
    <definedName name="line4_3" localSheetId="5">#REF!</definedName>
    <definedName name="line4_3">#REF!</definedName>
    <definedName name="line4_4" localSheetId="1">#REF!</definedName>
    <definedName name="line4_4" localSheetId="4">#REF!</definedName>
    <definedName name="line4_4" localSheetId="5">#REF!</definedName>
    <definedName name="line4_4">#REF!</definedName>
    <definedName name="line4_5" localSheetId="1">#REF!</definedName>
    <definedName name="line4_5" localSheetId="4">#REF!</definedName>
    <definedName name="line4_5" localSheetId="5">#REF!</definedName>
    <definedName name="line4_5">#REF!</definedName>
    <definedName name="line4_6" localSheetId="1">#REF!</definedName>
    <definedName name="line4_6" localSheetId="4">#REF!</definedName>
    <definedName name="line4_6" localSheetId="5">#REF!</definedName>
    <definedName name="line4_6">#REF!</definedName>
    <definedName name="line5_1" localSheetId="1">#REF!</definedName>
    <definedName name="line5_1" localSheetId="4">#REF!</definedName>
    <definedName name="line5_1" localSheetId="5">#REF!</definedName>
    <definedName name="line5_1">#REF!</definedName>
    <definedName name="line5_2" localSheetId="1">#REF!</definedName>
    <definedName name="line5_2" localSheetId="4">#REF!</definedName>
    <definedName name="line5_2" localSheetId="5">#REF!</definedName>
    <definedName name="line5_2">#REF!</definedName>
    <definedName name="list" localSheetId="1">#REF!</definedName>
    <definedName name="list" localSheetId="4">#REF!</definedName>
    <definedName name="list" localSheetId="5">#REF!</definedName>
    <definedName name="list">#REF!</definedName>
    <definedName name="List_IE">'[26]Definitions-lists-EFR'!$A$58:$A$65</definedName>
    <definedName name="list1" localSheetId="6">#REF!</definedName>
    <definedName name="list1">'[30]шкала SDA и др'!$M$3:$M$15</definedName>
    <definedName name="list2" localSheetId="6">[31]Definitions!$M$9:$M$13</definedName>
    <definedName name="list2">[31]Definitions!$M$9:$M$13</definedName>
    <definedName name="listact" localSheetId="6">[31]Definitions!$B$32:$B$75</definedName>
    <definedName name="listact">[31]Definitions!$B$32:$B$75</definedName>
    <definedName name="listH" localSheetId="1">[31]Definitions!#REF!</definedName>
    <definedName name="listH" localSheetId="6">[31]Definitions!#REF!</definedName>
    <definedName name="listH" localSheetId="4">[31]Definitions!#REF!</definedName>
    <definedName name="listH" localSheetId="5">[31]Definitions!#REF!</definedName>
    <definedName name="listH">[31]Definitions!#REF!</definedName>
    <definedName name="ListHIV" localSheetId="6">'[26]Definitions-lists-EFR'!$A$1:$A$7</definedName>
    <definedName name="ListHIV">'[32]Definitions-lists-EFR'!$A$1:$A$7</definedName>
    <definedName name="listie" localSheetId="6">[31]Definitions!$L$1:$L$8</definedName>
    <definedName name="listie">[31]Definitions!$L$1:$L$8</definedName>
    <definedName name="listmac" localSheetId="6">[16]Definitions!$B$40:$B$46</definedName>
    <definedName name="listmac">[33]Definitions!$B$40:$B$46</definedName>
    <definedName name="listnew" localSheetId="1">#REF!</definedName>
    <definedName name="listnew" localSheetId="6">#REF!</definedName>
    <definedName name="listnew" localSheetId="4">#REF!</definedName>
    <definedName name="listnew" localSheetId="5">#REF!</definedName>
    <definedName name="listnew">#REF!</definedName>
    <definedName name="listS" localSheetId="1">#REF!</definedName>
    <definedName name="listS" localSheetId="6">#REF!</definedName>
    <definedName name="listS" localSheetId="4">#REF!</definedName>
    <definedName name="listS" localSheetId="5">#REF!</definedName>
    <definedName name="listS">#REF!</definedName>
    <definedName name="listsda" localSheetId="1">#REF!</definedName>
    <definedName name="listsda" localSheetId="6">#REF!</definedName>
    <definedName name="listsda" localSheetId="4">#REF!</definedName>
    <definedName name="listsda" localSheetId="5">#REF!</definedName>
    <definedName name="listsda">#REF!</definedName>
    <definedName name="listsdah" localSheetId="6">[16]Definitions!$C$30:$C$54</definedName>
    <definedName name="listsdah">[33]Definitions!$C$30:$C$54</definedName>
    <definedName name="listsdahiv" localSheetId="1">#REF!</definedName>
    <definedName name="listsdahiv" localSheetId="6">#REF!</definedName>
    <definedName name="listsdahiv" localSheetId="4">#REF!</definedName>
    <definedName name="listsdahiv" localSheetId="5">#REF!</definedName>
    <definedName name="listsdahiv">#REF!</definedName>
    <definedName name="listsdahiv1" localSheetId="1">#REF!</definedName>
    <definedName name="listsdahiv1" localSheetId="6">#REF!</definedName>
    <definedName name="listsdahiv1" localSheetId="4">#REF!</definedName>
    <definedName name="listsdahiv1" localSheetId="5">#REF!</definedName>
    <definedName name="listsdahiv1">#REF!</definedName>
    <definedName name="listsdam">[34]Definitions!$C$28:$C$50</definedName>
    <definedName name="listsdat" localSheetId="1">#REF!</definedName>
    <definedName name="listsdat" localSheetId="6">#REF!</definedName>
    <definedName name="listsdat" localSheetId="4">#REF!</definedName>
    <definedName name="listsdat" localSheetId="5">#REF!</definedName>
    <definedName name="listsdat">#REF!</definedName>
    <definedName name="listsdat1">[35]Definitions!$C$39:$C$54</definedName>
    <definedName name="listserv" localSheetId="1">#REF!</definedName>
    <definedName name="listserv" localSheetId="4">#REF!</definedName>
    <definedName name="listserv" localSheetId="5">#REF!</definedName>
    <definedName name="listserv">#REF!</definedName>
    <definedName name="lo">[1]Reference!$D$19</definedName>
    <definedName name="loading" localSheetId="1">#REF!</definedName>
    <definedName name="loading" localSheetId="6">#REF!</definedName>
    <definedName name="loading" localSheetId="4">#REF!</definedName>
    <definedName name="loading" localSheetId="5">#REF!</definedName>
    <definedName name="loading">#REF!</definedName>
    <definedName name="locinf" localSheetId="6">[36]Header!$D$19</definedName>
    <definedName name="locinf">[37]Header!$D$19</definedName>
    <definedName name="locyr1" localSheetId="6">[36]Header!$G$19</definedName>
    <definedName name="locyr1">[37]Header!$G$19</definedName>
    <definedName name="locyr2" localSheetId="6">[38]Header!$H$19</definedName>
    <definedName name="locyr2">[38]Header!$H$19</definedName>
    <definedName name="locyr3" localSheetId="6">[38]Header!$I$19</definedName>
    <definedName name="locyr3">[38]Header!$I$19</definedName>
    <definedName name="locyr4" localSheetId="6">[38]Header!$J$19</definedName>
    <definedName name="locyr4">[38]Header!$J$19</definedName>
    <definedName name="locyr5" localSheetId="6">[38]Header!$K$19</definedName>
    <definedName name="locyr5">[38]Header!$K$19</definedName>
    <definedName name="LPV_RTV_5">'[11]What-if'!$I$13</definedName>
    <definedName name="LPV_RTV_90_2">'[11]What-if'!$I$12</definedName>
    <definedName name="MacrocategoriesALL">'[39]Definitions - budget categories'!$B$127:$B$149</definedName>
    <definedName name="MalariaSDA">[20]Malaria!$A$2:$A$29</definedName>
    <definedName name="MalariaSource">[20]Malaria!$E$2:$E$20</definedName>
    <definedName name="Modifier" localSheetId="6">[12]names!$B$25:$B$32</definedName>
    <definedName name="Modifier">[13]names!$B$25:$B$32</definedName>
    <definedName name="MonthSelected">'[4]Concept Note'!$C$7</definedName>
    <definedName name="namelo">[1]Budget!$D$3</definedName>
    <definedName name="NCC">'[40]New Cost Categories'!$C$68:$C$81</definedName>
    <definedName name="NEC">'[41]New Cost Categories'!$C$68:$C$82</definedName>
    <definedName name="NFV_144">'[11]What-if'!$I$15</definedName>
    <definedName name="NFV_270">'[11]What-if'!$I$14</definedName>
    <definedName name="NMC" localSheetId="1">#REF!</definedName>
    <definedName name="NMC" localSheetId="6">#REF!</definedName>
    <definedName name="NMC" localSheetId="4">#REF!</definedName>
    <definedName name="NMC" localSheetId="5">#REF!</definedName>
    <definedName name="NMC">#REF!</definedName>
    <definedName name="note">'[10]QR-1 Summary'!$G$11</definedName>
    <definedName name="NVP_100">'[11]What-if'!$I$17</definedName>
    <definedName name="NVP_60">'[11]What-if'!$I$16</definedName>
    <definedName name="OB" localSheetId="6">'[9]Budget Summary'!$A$234:$A$236</definedName>
    <definedName name="OB">'[9]Budget Summary'!$A$234:$A$236</definedName>
    <definedName name="OB1ENG" localSheetId="1">#REF!,#REF!,#REF!,#REF!</definedName>
    <definedName name="OB1ENG" localSheetId="6">#REF!,#REF!,#REF!,#REF!</definedName>
    <definedName name="OB1ENG" localSheetId="4">#REF!,#REF!,#REF!,#REF!</definedName>
    <definedName name="OB1ENG" localSheetId="5">#REF!,#REF!,#REF!,#REF!</definedName>
    <definedName name="OB1ENG">#REF!,#REF!,#REF!,#REF!</definedName>
    <definedName name="OB1UK" localSheetId="1">#REF!,#REF!,#REF!,#REF!,#REF!</definedName>
    <definedName name="OB1UK" localSheetId="6">#REF!,#REF!,#REF!,#REF!,#REF!</definedName>
    <definedName name="OB1UK" localSheetId="4">#REF!,#REF!,#REF!,#REF!,#REF!</definedName>
    <definedName name="OB1UK" localSheetId="5">#REF!,#REF!,#REF!,#REF!,#REF!</definedName>
    <definedName name="OB1UK">#REF!,#REF!,#REF!,#REF!,#REF!</definedName>
    <definedName name="OB2ENG" localSheetId="1">[42]OB2!#REF!,[42]OB2!$G$1:$G$65536,[42]OB2!$H$1:$H$65536,[42]OB2!$T$1:$T$65536</definedName>
    <definedName name="OB2ENG" localSheetId="6">[42]OB2!#REF!,[42]OB2!$G$1:$G$65536,[42]OB2!$H$1:$H$65536,[42]OB2!$T$1:$T$65536</definedName>
    <definedName name="OB2ENG" localSheetId="4">[42]OB2!#REF!,[42]OB2!$G$1:$G$65536,[42]OB2!$H$1:$H$65536,[42]OB2!$T$1:$T$65536</definedName>
    <definedName name="OB2ENG" localSheetId="5">[42]OB2!#REF!,[42]OB2!$G$1:$G$65536,[42]OB2!$H$1:$H$65536,[42]OB2!$T$1:$T$65536</definedName>
    <definedName name="OB2ENG">[42]OB2!#REF!,[42]OB2!$G$1:$G$65536,[42]OB2!$H$1:$H$65536,[42]OB2!$T$1:$T$65536</definedName>
    <definedName name="OB2UK" localSheetId="1">[42]OB2!#REF!,[42]OB2!#REF!,[42]OB2!#REF!,[42]OB2!#REF!,[42]OB2!#REF!,[42]OB2!#REF!,[42]OB2!#REF!,[42]OB2!#REF!,[42]OB2!#REF!,[42]OB2!#REF!</definedName>
    <definedName name="OB2UK" localSheetId="6">[42]OB2!#REF!,[42]OB2!#REF!,[42]OB2!#REF!,[42]OB2!#REF!,[42]OB2!#REF!,[42]OB2!#REF!,[42]OB2!#REF!,[42]OB2!#REF!,[42]OB2!#REF!,[42]OB2!#REF!</definedName>
    <definedName name="OB2UK" localSheetId="4">[42]OB2!#REF!,[42]OB2!#REF!,[42]OB2!#REF!,[42]OB2!#REF!,[42]OB2!#REF!,[42]OB2!#REF!,[42]OB2!#REF!,[42]OB2!#REF!,[42]OB2!#REF!,[42]OB2!#REF!</definedName>
    <definedName name="OB2UK" localSheetId="5">[42]OB2!#REF!,[42]OB2!#REF!,[42]OB2!#REF!,[42]OB2!#REF!,[42]OB2!#REF!,[42]OB2!#REF!,[42]OB2!#REF!,[42]OB2!#REF!,[42]OB2!#REF!,[42]OB2!#REF!</definedName>
    <definedName name="OB2UK">[42]OB2!#REF!,[42]OB2!#REF!,[42]OB2!#REF!,[42]OB2!#REF!,[42]OB2!#REF!,[42]OB2!#REF!,[42]OB2!#REF!,[42]OB2!#REF!,[42]OB2!#REF!,[42]OB2!#REF!</definedName>
    <definedName name="OB3_ENG" localSheetId="1">#REF!,#REF!,#REF!,#REF!</definedName>
    <definedName name="OB3_ENG" localSheetId="6">#REF!,#REF!,#REF!,#REF!</definedName>
    <definedName name="OB3_ENG" localSheetId="4">#REF!,#REF!,#REF!,#REF!</definedName>
    <definedName name="OB3_ENG" localSheetId="5">#REF!,#REF!,#REF!,#REF!</definedName>
    <definedName name="OB3_ENG">#REF!,#REF!,#REF!,#REF!</definedName>
    <definedName name="OB3_UK" localSheetId="1">#REF!,#REF!,#REF!</definedName>
    <definedName name="OB3_UK" localSheetId="6">#REF!,#REF!,#REF!</definedName>
    <definedName name="OB3_UK" localSheetId="4">#REF!,#REF!,#REF!</definedName>
    <definedName name="OB3_UK" localSheetId="5">#REF!,#REF!,#REF!</definedName>
    <definedName name="OB3_UK">#REF!,#REF!,#REF!</definedName>
    <definedName name="OB3ENG" localSheetId="1">[42]OB3!$G$1:$G$65536,[42]OB3!#REF!,[42]OB3!$H$1:$H$65536,[42]OB3!$T$1:$T$65536</definedName>
    <definedName name="OB3ENG" localSheetId="6">[42]OB3!$G$1:$G$65536,[42]OB3!#REF!,[42]OB3!$H$1:$H$65536,[42]OB3!$T$1:$T$65536</definedName>
    <definedName name="OB3ENG" localSheetId="4">[42]OB3!$G$1:$G$65536,[42]OB3!#REF!,[42]OB3!$H$1:$H$65536,[42]OB3!$T$1:$T$65536</definedName>
    <definedName name="OB3ENG" localSheetId="5">[42]OB3!$G$1:$G$65536,[42]OB3!#REF!,[42]OB3!$H$1:$H$65536,[42]OB3!$T$1:$T$65536</definedName>
    <definedName name="OB3ENG">[42]OB3!$G$1:$G$65536,[42]OB3!#REF!,[42]OB3!$H$1:$H$65536,[42]OB3!$T$1:$T$65536</definedName>
    <definedName name="OB3UK" localSheetId="1">[42]OB3!#REF!,[42]OB3!#REF!,[42]OB3!#REF!</definedName>
    <definedName name="OB3UK" localSheetId="6">[42]OB3!#REF!,[42]OB3!#REF!,[42]OB3!#REF!</definedName>
    <definedName name="OB3UK" localSheetId="4">[42]OB3!#REF!,[42]OB3!#REF!,[42]OB3!#REF!</definedName>
    <definedName name="OB3UK" localSheetId="5">[42]OB3!#REF!,[42]OB3!#REF!,[42]OB3!#REF!</definedName>
    <definedName name="OB3UK">[42]OB3!#REF!,[42]OB3!#REF!,[42]OB3!#REF!</definedName>
    <definedName name="OB4ENG" localSheetId="1">#REF!,#REF!,#REF!,#REF!,#REF!</definedName>
    <definedName name="OB4ENG" localSheetId="6">[42]OB4!$G$1:$G$65536,[42]OB4!$H$1:$H$65536,[42]OB4!$I$1:$I$65536,[42]OB4!$U$1:$U$65536,[42]OB4!#REF!</definedName>
    <definedName name="OB4ENG" localSheetId="4">#REF!,#REF!,#REF!,#REF!,#REF!</definedName>
    <definedName name="OB4ENG" localSheetId="5">#REF!,#REF!,#REF!,#REF!,#REF!</definedName>
    <definedName name="OB4ENG">#REF!,#REF!,#REF!,#REF!,#REF!</definedName>
    <definedName name="OB4UK" localSheetId="1">[42]OB4!#REF!,[42]OB4!#REF!,[42]OB4!#REF!,[42]OB4!#REF!</definedName>
    <definedName name="OB4UK" localSheetId="6">[42]OB4!#REF!,[42]OB4!#REF!,[42]OB4!#REF!,[42]OB4!#REF!</definedName>
    <definedName name="OB4UK" localSheetId="4">[42]OB4!#REF!,[42]OB4!#REF!,[42]OB4!#REF!,[42]OB4!#REF!</definedName>
    <definedName name="OB4UK" localSheetId="5">[42]OB4!#REF!,[42]OB4!#REF!,[42]OB4!#REF!,[42]OB4!#REF!</definedName>
    <definedName name="OB4UK">[42]OB4!#REF!,[42]OB4!#REF!,[42]OB4!#REF!,[42]OB4!#REF!</definedName>
    <definedName name="OB5ENG">[42]OB5!$J$1:$J$65536,[42]OB5!$L$1:$L$65536,[42]OB5!$Y$1:$Y$65536</definedName>
    <definedName name="OB5UK" localSheetId="1">[42]OB5!#REF!,[42]OB5!#REF!,[42]OB5!#REF!,[42]OB5!#REF!</definedName>
    <definedName name="OB5UK" localSheetId="6">[42]OB5!#REF!,[42]OB5!#REF!,[42]OB5!#REF!,[42]OB5!#REF!</definedName>
    <definedName name="OB5UK" localSheetId="4">[42]OB5!#REF!,[42]OB5!#REF!,[42]OB5!#REF!,[42]OB5!#REF!</definedName>
    <definedName name="OB5UK" localSheetId="5">[42]OB5!#REF!,[42]OB5!#REF!,[42]OB5!#REF!,[42]OB5!#REF!</definedName>
    <definedName name="OB5UK">[42]OB5!#REF!,[42]OB5!#REF!,[42]OB5!#REF!,[42]OB5!#REF!</definedName>
    <definedName name="outcome" localSheetId="1">#REF!</definedName>
    <definedName name="outcome" localSheetId="6">#REF!</definedName>
    <definedName name="outcome" localSheetId="4">#REF!</definedName>
    <definedName name="outcome" localSheetId="5">#REF!</definedName>
    <definedName name="outcome">#REF!</definedName>
    <definedName name="outcome_1" localSheetId="1">#REF!</definedName>
    <definedName name="outcome_1" localSheetId="6">#REF!</definedName>
    <definedName name="outcome_1" localSheetId="4">#REF!</definedName>
    <definedName name="outcome_1" localSheetId="5">#REF!</definedName>
    <definedName name="outcome_1">#REF!</definedName>
    <definedName name="Phase" localSheetId="6">'[9]Budget Summary'!$A$217:$A$218</definedName>
    <definedName name="Phase">'[9]Budget Summary'!$A$217:$A$218</definedName>
    <definedName name="please_select">#N/A</definedName>
    <definedName name="pop" localSheetId="1">#REF!</definedName>
    <definedName name="pop" localSheetId="6">#REF!</definedName>
    <definedName name="pop" localSheetId="4">#REF!</definedName>
    <definedName name="pop" localSheetId="5">#REF!</definedName>
    <definedName name="pop">#REF!</definedName>
    <definedName name="PR" localSheetId="6">'[9]Budget Summary'!$A$249:$A$250</definedName>
    <definedName name="PR">'[9]Budget Summary'!$A$249:$A$250</definedName>
    <definedName name="PR_SDA" localSheetId="1">'[26]LFA_Programmatic Progress_1A'!#REF!</definedName>
    <definedName name="PR_SDA" localSheetId="4">'[26]LFA_Programmatic Progress_1A'!#REF!</definedName>
    <definedName name="PR_SDA" localSheetId="5">'[26]LFA_Programmatic Progress_1A'!#REF!</definedName>
    <definedName name="PR_SDA">'[26]LFA_Programmatic Progress_1A'!#REF!</definedName>
    <definedName name="Price_AZT3TC">'[43]Drug needs &amp; prices assumptions'!$E$7</definedName>
    <definedName name="Price_NFV">'[43]Drug needs &amp; prices assumptions'!$E$15</definedName>
    <definedName name="pritn_titles" localSheetId="1">#REF!</definedName>
    <definedName name="pritn_titles" localSheetId="6">#REF!</definedName>
    <definedName name="pritn_titles" localSheetId="4">#REF!</definedName>
    <definedName name="pritn_titles" localSheetId="5">#REF!</definedName>
    <definedName name="pritn_titles">#REF!</definedName>
    <definedName name="PS">[20]HIV!$F$5</definedName>
    <definedName name="Q1Exp" localSheetId="1">#REF!</definedName>
    <definedName name="Q1Exp" localSheetId="6">#REF!</definedName>
    <definedName name="Q1Exp" localSheetId="4">#REF!</definedName>
    <definedName name="Q1Exp" localSheetId="5">#REF!</definedName>
    <definedName name="Q1Exp">#REF!</definedName>
    <definedName name="Q2Exp" localSheetId="1">#REF!</definedName>
    <definedName name="Q2Exp" localSheetId="6">#REF!</definedName>
    <definedName name="Q2Exp" localSheetId="4">#REF!</definedName>
    <definedName name="Q2Exp" localSheetId="5">#REF!</definedName>
    <definedName name="Q2Exp">#REF!</definedName>
    <definedName name="Q3Exp" localSheetId="1">#REF!</definedName>
    <definedName name="Q3Exp" localSheetId="6">#REF!</definedName>
    <definedName name="Q3Exp" localSheetId="4">#REF!</definedName>
    <definedName name="Q3Exp" localSheetId="5">#REF!</definedName>
    <definedName name="Q3Exp">#REF!</definedName>
    <definedName name="Q4Exp" localSheetId="1">#REF!</definedName>
    <definedName name="Q4Exp" localSheetId="4">#REF!</definedName>
    <definedName name="Q4Exp" localSheetId="5">#REF!</definedName>
    <definedName name="Q4Exp">#REF!</definedName>
    <definedName name="qfr">'[10]QR-1 Summary'!$B$3</definedName>
    <definedName name="qr1.2">'[10]QR-1 Summary'!$B$15</definedName>
    <definedName name="qr1.34">'[10]QR-1 Summary'!$B$37</definedName>
    <definedName name="qr1.4">'[10]QR-1 Summary'!$D$44</definedName>
    <definedName name="qr1.5">'[10]QR-1 Summary'!$B$47</definedName>
    <definedName name="qr1.61">'[10]QR-1 Summary'!$B$49</definedName>
    <definedName name="qr1.62">'[10]QR-1 Summary'!$B$54</definedName>
    <definedName name="qr1.63">'[10]QR-1 Summary'!$B$56</definedName>
    <definedName name="qr1.64">'[10]QR-1 Summary'!$B$59</definedName>
    <definedName name="qr1.66">'[10]QR-1 Summary'!$B$64</definedName>
    <definedName name="qr1h">'[10]QR-1 Summary'!$C$5</definedName>
    <definedName name="qr5h">'[44]QR-5 (Youth Projects)'!$B$6</definedName>
    <definedName name="qrheads">[1]Reference!$P$227:$V$228</definedName>
    <definedName name="qrr">[1]Reference!$P$287:$T$311</definedName>
    <definedName name="qtr">'[10]QR-1 Summary'!$H$3</definedName>
    <definedName name="qtrdate">[1]Reference!$C$30</definedName>
    <definedName name="qtrfactor">[1]Reference!$D$30</definedName>
    <definedName name="Rate" localSheetId="1">#REF!</definedName>
    <definedName name="Rate" localSheetId="6">#REF!</definedName>
    <definedName name="Rate" localSheetId="4">#REF!</definedName>
    <definedName name="Rate" localSheetId="5">#REF!</definedName>
    <definedName name="Rate">#REF!</definedName>
    <definedName name="Replanned" localSheetId="6">[12]names!$D$3:$D$10</definedName>
    <definedName name="Replanned">[13]names!$D$3:$D$10</definedName>
    <definedName name="ReportPeriod" localSheetId="1">#REF!</definedName>
    <definedName name="ReportPeriod" localSheetId="6">#REF!</definedName>
    <definedName name="ReportPeriod" localSheetId="4">#REF!</definedName>
    <definedName name="ReportPeriod" localSheetId="5">#REF!</definedName>
    <definedName name="ReportPeriod">#REF!</definedName>
    <definedName name="rOB1hide" localSheetId="1">#REF!</definedName>
    <definedName name="rOB1hide" localSheetId="6">#REF!</definedName>
    <definedName name="rOB1hide" localSheetId="4">#REF!</definedName>
    <definedName name="rOB1hide" localSheetId="5">#REF!</definedName>
    <definedName name="rOB1hide">#REF!</definedName>
    <definedName name="safety">'[45]Drug needs &amp; prices assumptions'!$E$19</definedName>
    <definedName name="SAL" localSheetId="1">#REF!</definedName>
    <definedName name="SAL" localSheetId="6">#REF!</definedName>
    <definedName name="SAL" localSheetId="4">#REF!</definedName>
    <definedName name="SAL" localSheetId="5">#REF!</definedName>
    <definedName name="SAL">#REF!</definedName>
    <definedName name="SD" localSheetId="1">#REF!</definedName>
    <definedName name="SD" localSheetId="6">#REF!</definedName>
    <definedName name="SD" localSheetId="4">#REF!</definedName>
    <definedName name="SD" localSheetId="5">#REF!</definedName>
    <definedName name="SD">#REF!</definedName>
    <definedName name="SDA" localSheetId="6">#REF!</definedName>
    <definedName name="SDA">[13]names!$B$3:$B$21</definedName>
    <definedName name="SDA_UCDC" localSheetId="1">#REF!</definedName>
    <definedName name="SDA_UCDC" localSheetId="6">#REF!</definedName>
    <definedName name="SDA_UCDC" localSheetId="4">#REF!</definedName>
    <definedName name="SDA_UCDC" localSheetId="5">#REF!</definedName>
    <definedName name="SDA_UCDC">#REF!</definedName>
    <definedName name="SDAList" localSheetId="1">#REF!</definedName>
    <definedName name="SDAList" localSheetId="6">#REF!</definedName>
    <definedName name="SDAList" localSheetId="4">#REF!</definedName>
    <definedName name="SDAList" localSheetId="5">#REF!</definedName>
    <definedName name="SDAList">#REF!</definedName>
    <definedName name="SDAList_1" localSheetId="1">#REF!</definedName>
    <definedName name="SDAList_1" localSheetId="6">#REF!</definedName>
    <definedName name="SDAList_1" localSheetId="4">#REF!</definedName>
    <definedName name="SDAList_1" localSheetId="5">#REF!</definedName>
    <definedName name="SDAList_1">#REF!</definedName>
    <definedName name="SL" localSheetId="1">#REF!</definedName>
    <definedName name="SL" localSheetId="4">#REF!</definedName>
    <definedName name="SL" localSheetId="5">#REF!</definedName>
    <definedName name="SL">#REF!</definedName>
    <definedName name="Sources" localSheetId="1">#REF!</definedName>
    <definedName name="Sources" localSheetId="4">#REF!</definedName>
    <definedName name="Sources" localSheetId="5">#REF!</definedName>
    <definedName name="Sources">#REF!</definedName>
    <definedName name="SourcesList" localSheetId="1">#REF!</definedName>
    <definedName name="SourcesList" localSheetId="4">#REF!</definedName>
    <definedName name="SourcesList" localSheetId="5">#REF!</definedName>
    <definedName name="SourcesList">#REF!</definedName>
    <definedName name="SourcesList_1" localSheetId="1">#REF!</definedName>
    <definedName name="SourcesList_1" localSheetId="4">#REF!</definedName>
    <definedName name="SourcesList_1" localSheetId="5">#REF!</definedName>
    <definedName name="SourcesList_1">#REF!</definedName>
    <definedName name="Split_1" localSheetId="1">#REF!</definedName>
    <definedName name="Split_1" localSheetId="4">#REF!</definedName>
    <definedName name="Split_1" localSheetId="5">#REF!</definedName>
    <definedName name="Split_1">#REF!</definedName>
    <definedName name="Split_2" localSheetId="1">#REF!</definedName>
    <definedName name="Split_2" localSheetId="4">#REF!</definedName>
    <definedName name="Split_2" localSheetId="5">#REF!</definedName>
    <definedName name="Split_2">#REF!</definedName>
    <definedName name="spysok">'[28]Таблиця витрат'!$B$7:$B$22</definedName>
    <definedName name="Staff">GenAssumptions!$C$21:$C$31</definedName>
    <definedName name="Staff_1">GenAssumptions!$C$21:$E$30</definedName>
    <definedName name="staff_list" localSheetId="1">#REF!</definedName>
    <definedName name="staff_list" localSheetId="6">#REF!</definedName>
    <definedName name="staff_list" localSheetId="4">#REF!</definedName>
    <definedName name="staff_list" localSheetId="5">#REF!</definedName>
    <definedName name="staff_list">#REF!</definedName>
    <definedName name="Staff1">GenAssumptions!$C$21:$C$31</definedName>
    <definedName name="TaxBasis" localSheetId="1">#REF!</definedName>
    <definedName name="TaxBasis" localSheetId="6">#REF!</definedName>
    <definedName name="TaxBasis" localSheetId="4">#REF!</definedName>
    <definedName name="TaxBasis" localSheetId="5">#REF!</definedName>
    <definedName name="TaxBasis">#REF!</definedName>
    <definedName name="TBSDA">[20]TB!$A$2:$A$31</definedName>
    <definedName name="TBSource">[20]TB!$E$2:$E$16</definedName>
    <definedName name="Team" localSheetId="6">'[46]original budget Y5'!$D$3:$D$225</definedName>
    <definedName name="Team">'[46]original budget Y5'!$D$3:$D$225</definedName>
    <definedName name="TEST" localSheetId="1">'[26]LFA_Programmatic Progress_1A'!#REF!</definedName>
    <definedName name="TEST" localSheetId="4">'[26]LFA_Programmatic Progress_1A'!#REF!</definedName>
    <definedName name="TEST" localSheetId="5">'[26]LFA_Programmatic Progress_1A'!#REF!</definedName>
    <definedName name="TEST">'[26]LFA_Programmatic Progress_1A'!#REF!</definedName>
    <definedName name="Timeframe" localSheetId="1">#REF!</definedName>
    <definedName name="Timeframe" localSheetId="6">#REF!</definedName>
    <definedName name="Timeframe" localSheetId="4">#REF!</definedName>
    <definedName name="Timeframe" localSheetId="5">#REF!</definedName>
    <definedName name="Timeframe">#REF!</definedName>
    <definedName name="topheads">[1]Reference!$P$165:$T$181</definedName>
    <definedName name="TPSM3_2_2" localSheetId="1">#REF!</definedName>
    <definedName name="TPSM3_2_2" localSheetId="6">#REF!</definedName>
    <definedName name="TPSM3_2_2" localSheetId="4">#REF!</definedName>
    <definedName name="TPSM3_2_2" localSheetId="5">#REF!</definedName>
    <definedName name="TPSM3_2_2">#REF!</definedName>
    <definedName name="TPSM3_2_3" localSheetId="1">#REF!</definedName>
    <definedName name="TPSM3_2_3" localSheetId="6">#REF!</definedName>
    <definedName name="TPSM3_2_3" localSheetId="4">#REF!</definedName>
    <definedName name="TPSM3_2_3" localSheetId="5">#REF!</definedName>
    <definedName name="TPSM3_2_3">#REF!</definedName>
    <definedName name="TPSM3_2_4" localSheetId="1">#REF!</definedName>
    <definedName name="TPSM3_2_4" localSheetId="6">#REF!</definedName>
    <definedName name="TPSM3_2_4" localSheetId="4">#REF!</definedName>
    <definedName name="TPSM3_2_4" localSheetId="5">#REF!</definedName>
    <definedName name="TPSM3_2_4">#REF!</definedName>
    <definedName name="TPSM3_2_5" localSheetId="1">#REF!</definedName>
    <definedName name="TPSM3_2_5" localSheetId="4">#REF!</definedName>
    <definedName name="TPSM3_2_5" localSheetId="5">#REF!</definedName>
    <definedName name="TPSM3_2_5">#REF!</definedName>
    <definedName name="TPSM3_2_6" localSheetId="1">#REF!</definedName>
    <definedName name="TPSM3_2_6" localSheetId="4">#REF!</definedName>
    <definedName name="TPSM3_2_6" localSheetId="5">#REF!</definedName>
    <definedName name="TPSM3_2_6">#REF!</definedName>
    <definedName name="TPSM4_2_3">'[47]TPSM WP Year 4'!$Q$5</definedName>
    <definedName name="TPSM5_2_3" localSheetId="1">#REF!</definedName>
    <definedName name="TPSM5_2_3" localSheetId="6">#REF!</definedName>
    <definedName name="TPSM5_2_3" localSheetId="4">#REF!</definedName>
    <definedName name="TPSM5_2_3" localSheetId="5">#REF!</definedName>
    <definedName name="TPSM5_2_3">#REF!</definedName>
    <definedName name="Type" localSheetId="6">'[9]Budget Summary'!$A$252:$A$259</definedName>
    <definedName name="Type">'[9]Budget Summary'!$A$252:$A$259</definedName>
    <definedName name="ukinf" localSheetId="6">[36]Header!$D$18</definedName>
    <definedName name="ukinf">[37]Header!$D$18</definedName>
    <definedName name="ukyr1" localSheetId="6">[36]Header!$G$18</definedName>
    <definedName name="ukyr1">[37]Header!$G$18</definedName>
    <definedName name="ukyr2" localSheetId="6">[36]Header!$H$18</definedName>
    <definedName name="ukyr2">[37]Header!$H$18</definedName>
    <definedName name="ukyr3" localSheetId="6">[36]Header!$I$18</definedName>
    <definedName name="ukyr3">[37]Header!$I$18</definedName>
    <definedName name="ukyr4" localSheetId="6">[36]Header!$J$18</definedName>
    <definedName name="ukyr4">[37]Header!$J$18</definedName>
    <definedName name="ukyr5" localSheetId="6">[36]Header!$K$18</definedName>
    <definedName name="ukyr5">[37]Header!$K$18</definedName>
    <definedName name="we">'[48]cost category'!$C$3:$C$15</definedName>
    <definedName name="what">'[49]AR-1 Summary'!$D$3</definedName>
    <definedName name="WHO" localSheetId="6">'[50]Workplan and Budget 3 years'!$K$1</definedName>
    <definedName name="WHO">'[50]Workplan and Budget 3 years'!$K$1</definedName>
    <definedName name="wplSDA01" localSheetId="1">#REF!</definedName>
    <definedName name="wplSDA01" localSheetId="6">#REF!</definedName>
    <definedName name="wplSDA01" localSheetId="4">#REF!</definedName>
    <definedName name="wplSDA01" localSheetId="5">#REF!</definedName>
    <definedName name="wplSDA01">#REF!</definedName>
    <definedName name="wplSDA02" localSheetId="1">#REF!</definedName>
    <definedName name="wplSDA02" localSheetId="6">#REF!</definedName>
    <definedName name="wplSDA02" localSheetId="4">#REF!</definedName>
    <definedName name="wplSDA02" localSheetId="5">#REF!</definedName>
    <definedName name="wplSDA02">#REF!</definedName>
    <definedName name="wplSDA03" localSheetId="1">#REF!</definedName>
    <definedName name="wplSDA03" localSheetId="6">#REF!</definedName>
    <definedName name="wplSDA03" localSheetId="4">#REF!</definedName>
    <definedName name="wplSDA03" localSheetId="5">#REF!</definedName>
    <definedName name="wplSDA03">#REF!</definedName>
    <definedName name="wplSDA04" localSheetId="1">#REF!</definedName>
    <definedName name="wplSDA04" localSheetId="4">#REF!</definedName>
    <definedName name="wplSDA04" localSheetId="5">#REF!</definedName>
    <definedName name="wplSDA04">#REF!</definedName>
    <definedName name="wplSDA05" localSheetId="1">#REF!</definedName>
    <definedName name="wplSDA05" localSheetId="4">#REF!</definedName>
    <definedName name="wplSDA05" localSheetId="5">#REF!</definedName>
    <definedName name="wplSDA05">#REF!</definedName>
    <definedName name="wplSDA10" localSheetId="1">#REF!</definedName>
    <definedName name="wplSDA10" localSheetId="4">#REF!</definedName>
    <definedName name="wplSDA10" localSheetId="5">#REF!</definedName>
    <definedName name="wplSDA10">#REF!</definedName>
    <definedName name="wplSDA11" localSheetId="1">#REF!</definedName>
    <definedName name="wplSDA11" localSheetId="6">[8]OB4!#REF!</definedName>
    <definedName name="wplSDA11" localSheetId="4">#REF!</definedName>
    <definedName name="wplSDA11" localSheetId="5">#REF!</definedName>
    <definedName name="wplSDA11">#REF!</definedName>
    <definedName name="wplSDA12" localSheetId="1">#REF!</definedName>
    <definedName name="wplSDA12" localSheetId="4">#REF!</definedName>
    <definedName name="wplSDA12" localSheetId="5">#REF!</definedName>
    <definedName name="wplSDA12">#REF!</definedName>
    <definedName name="wplSDA13" localSheetId="1">#REF!</definedName>
    <definedName name="wplSDA13" localSheetId="4">#REF!</definedName>
    <definedName name="wplSDA13" localSheetId="5">#REF!</definedName>
    <definedName name="wplSDA13">#REF!</definedName>
    <definedName name="wplSDA14" localSheetId="1">#REF!</definedName>
    <definedName name="wplSDA14" localSheetId="4">#REF!</definedName>
    <definedName name="wplSDA14" localSheetId="5">#REF!</definedName>
    <definedName name="wplSDA14">#REF!</definedName>
    <definedName name="wplSDA15" localSheetId="1">#REF!</definedName>
    <definedName name="wplSDA15" localSheetId="4">#REF!</definedName>
    <definedName name="wplSDA15" localSheetId="5">#REF!</definedName>
    <definedName name="wplSDA15">#REF!</definedName>
    <definedName name="wplSDA6" localSheetId="1">[51]OB2!#REF!</definedName>
    <definedName name="wplSDA6" localSheetId="6">[51]OB2!#REF!</definedName>
    <definedName name="wplSDA6" localSheetId="4">[51]OB2!#REF!</definedName>
    <definedName name="wplSDA6" localSheetId="5">[51]OB2!#REF!</definedName>
    <definedName name="wplSDA6">[51]OB2!#REF!</definedName>
    <definedName name="wplSDA7" localSheetId="1">[51]OB2!#REF!</definedName>
    <definedName name="wplSDA7" localSheetId="6">[51]OB2!#REF!</definedName>
    <definedName name="wplSDA7" localSheetId="4">[51]OB2!#REF!</definedName>
    <definedName name="wplSDA7" localSheetId="5">[51]OB2!#REF!</definedName>
    <definedName name="wplSDA7">[51]OB2!#REF!</definedName>
    <definedName name="wplSDA8" localSheetId="1">[51]OB2!#REF!</definedName>
    <definedName name="wplSDA8" localSheetId="6">[51]OB2!#REF!</definedName>
    <definedName name="wplSDA8" localSheetId="4">[51]OB2!#REF!</definedName>
    <definedName name="wplSDA8" localSheetId="5">[51]OB2!#REF!</definedName>
    <definedName name="wplSDA8">[51]OB2!#REF!</definedName>
    <definedName name="wrn.All._.Grant._.Forms." localSheetId="6" hidden="1">{"Form DD",#N/A,FALSE,"DD";"EE",#N/A,FALSE,"EE";"Indirects",#N/A,FALSE,"DD"}</definedName>
    <definedName name="wrn.All._.Grant._.Forms." hidden="1">{"Form DD",#N/A,FALSE,"DD";"EE",#N/A,FALSE,"EE";"Indirects",#N/A,FALSE,"DD"}</definedName>
    <definedName name="wrn.Summary._.1._.Year." localSheetId="6" hidden="1">{"One Year",#N/A,FALSE,"Summary"}</definedName>
    <definedName name="wrn.Summary._.1._.Year." hidden="1">{"One Year",#N/A,FALSE,"Summary"}</definedName>
    <definedName name="xrate">[52]Alliance!$B$9</definedName>
    <definedName name="year">[1]Reference!$D$13</definedName>
    <definedName name="YN">GenAssumptions!$E$6:$E$7</definedName>
    <definedName name="вар">'[53]Категорії витрат'!$B$2:$B$14</definedName>
    <definedName name="Витрати">'[54]Таблиця витрат'!$B$6:$B$23</definedName>
    <definedName name="впамюолплджоікв">'[53]Категорії витрат'!$B$2:$B$14</definedName>
    <definedName name="_xlnm.Print_Titles" localSheetId="3">'Services&amp;goods'!$4:$5</definedName>
    <definedName name="Категорії_витрат">'[55]Категорія витрат'!$A$2:$A$14</definedName>
    <definedName name="Категорія_витрат">'[56]Категорія витрат'!$A$2:$A$14</definedName>
    <definedName name="КВ">'[57]Категорії витрат'!$B$2:$B$14</definedName>
    <definedName name="Напрямки">'[58]Напрямки конкурса'!$G$2:$G$26</definedName>
    <definedName name="Напрямки_Набувача">'[55]Додаток 3.0 Напрямки орг-ції'!$A$5:$A$26</definedName>
    <definedName name="Напрямки_організації">'[56]Додаток 3.0 Напрямки орг-ції'!$A$4:$A$35</definedName>
    <definedName name="Напрямок_конкурсу1">'[59]Список операцій за проектом'!$CC$6:$CC$17</definedName>
    <definedName name="Напямоки_діяльності">'[60]Напрямки конкурса'!$G$2:$G$25</definedName>
    <definedName name="_xlnm.Print_Area" localSheetId="1">'Budget for NGO'!$A$1:$K$69</definedName>
    <definedName name="_xlnm.Print_Area" localSheetId="3">'Services&amp;goods'!$A$1:$Z$55</definedName>
    <definedName name="Сс" localSheetId="6">'[46]original budget Y5'!$C$3:$C$225</definedName>
    <definedName name="Сс">'[46]original budget Y5'!$C$3:$C$225</definedName>
    <definedName name="Форма_взаємовідносин">'[55]Категорія витрат'!$D$3:$D$6</definedName>
  </definedNames>
  <calcPr calcId="181029"/>
</workbook>
</file>

<file path=xl/calcChain.xml><?xml version="1.0" encoding="utf-8"?>
<calcChain xmlns="http://schemas.openxmlformats.org/spreadsheetml/2006/main">
  <c r="G53" i="9" l="1"/>
  <c r="G67" i="9"/>
  <c r="G66" i="9"/>
  <c r="G65" i="9"/>
  <c r="G64" i="9"/>
  <c r="G63" i="9"/>
  <c r="G62" i="9"/>
  <c r="G61" i="9"/>
  <c r="G60" i="9"/>
  <c r="G59" i="9"/>
  <c r="G58" i="9"/>
  <c r="G57" i="9"/>
  <c r="G56" i="9"/>
  <c r="G55" i="9"/>
  <c r="G54" i="9"/>
  <c r="R52" i="1"/>
  <c r="R51" i="1"/>
  <c r="R46" i="1"/>
  <c r="R45" i="1"/>
  <c r="R44" i="1"/>
  <c r="R42" i="1"/>
  <c r="R41" i="1"/>
  <c r="R38" i="1"/>
  <c r="R37" i="1"/>
  <c r="R36" i="1"/>
  <c r="R35" i="1"/>
  <c r="R34" i="1"/>
  <c r="R33" i="1"/>
  <c r="R29" i="1"/>
  <c r="R28" i="1"/>
  <c r="R27" i="1"/>
  <c r="R26" i="1"/>
  <c r="R23" i="1"/>
  <c r="R15" i="1"/>
  <c r="R14" i="1"/>
  <c r="R13" i="1"/>
  <c r="R12" i="1"/>
  <c r="Z54" i="1"/>
  <c r="Z46" i="1"/>
  <c r="Z45" i="1"/>
  <c r="Z43" i="1"/>
  <c r="Z42" i="1"/>
  <c r="Z40" i="1"/>
  <c r="Z38" i="1"/>
  <c r="Z37" i="1"/>
  <c r="Z36" i="1"/>
  <c r="Z35" i="1"/>
  <c r="Z34" i="1"/>
  <c r="Z29" i="1"/>
  <c r="Z28" i="1"/>
  <c r="Z27" i="1"/>
  <c r="Z26" i="1"/>
  <c r="Z25" i="1"/>
  <c r="Z23" i="1"/>
  <c r="Z20" i="1"/>
  <c r="Z19" i="1"/>
  <c r="Z18" i="1"/>
  <c r="Z17" i="1"/>
  <c r="Z9" i="1"/>
  <c r="Z14" i="1"/>
  <c r="Z15" i="1"/>
  <c r="E39" i="2"/>
  <c r="W14" i="1"/>
  <c r="W15" i="1"/>
  <c r="E38"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G24" i="9"/>
  <c r="G7" i="9"/>
  <c r="E37" i="2"/>
  <c r="E16" i="2" l="1"/>
  <c r="O26" i="5" l="1"/>
  <c r="O27" i="5"/>
  <c r="O28" i="5"/>
  <c r="O29" i="5"/>
  <c r="O30" i="5"/>
  <c r="O31" i="5"/>
  <c r="O32" i="5"/>
  <c r="O33" i="5"/>
  <c r="O34" i="5"/>
  <c r="O35" i="5"/>
  <c r="O36" i="5"/>
  <c r="O37" i="5"/>
  <c r="O38" i="5"/>
  <c r="O39" i="5"/>
  <c r="O40" i="5"/>
  <c r="O41" i="5"/>
  <c r="O25" i="5"/>
  <c r="O8" i="5"/>
  <c r="D36" i="2"/>
  <c r="E22" i="2"/>
  <c r="E23" i="2"/>
  <c r="E24" i="2"/>
  <c r="E25" i="2"/>
  <c r="E26" i="2"/>
  <c r="E27" i="2"/>
  <c r="E28" i="2"/>
  <c r="E29" i="2"/>
  <c r="E30" i="2"/>
  <c r="E31" i="2"/>
  <c r="E32" i="2"/>
  <c r="E21" i="2"/>
  <c r="L10" i="5" l="1"/>
  <c r="D17" i="2"/>
  <c r="D20" i="2"/>
  <c r="F20" i="9" l="1"/>
  <c r="F19" i="9"/>
  <c r="E20" i="9"/>
  <c r="G20" i="9" s="1"/>
  <c r="H20" i="9" s="1"/>
  <c r="E19" i="9"/>
  <c r="G19" i="9" s="1"/>
  <c r="H19" i="9" s="1"/>
  <c r="F54" i="9"/>
  <c r="E54" i="9"/>
  <c r="K19" i="9" l="1"/>
  <c r="K54" i="9"/>
  <c r="H54" i="9"/>
  <c r="K20" i="9"/>
  <c r="I19" i="9"/>
  <c r="J19" i="9" s="1"/>
  <c r="I20" i="9"/>
  <c r="J20" i="9" s="1"/>
  <c r="I54" i="9" l="1"/>
  <c r="J54" i="9" l="1"/>
  <c r="K8" i="4" l="1"/>
  <c r="K9" i="4"/>
  <c r="K11" i="4"/>
  <c r="K29" i="4"/>
  <c r="K30" i="4"/>
  <c r="K60" i="4"/>
  <c r="L19" i="1" l="1"/>
  <c r="L18" i="1"/>
  <c r="W18" i="1"/>
  <c r="N18" i="1"/>
  <c r="F18" i="1"/>
  <c r="E18" i="1" s="1"/>
  <c r="W20" i="1"/>
  <c r="L20" i="1"/>
  <c r="N20" i="1" s="1"/>
  <c r="F20" i="1"/>
  <c r="E20" i="1" s="1"/>
  <c r="W19" i="1"/>
  <c r="N19" i="1"/>
  <c r="F19" i="1"/>
  <c r="E19" i="1" s="1"/>
  <c r="W29" i="1"/>
  <c r="O29" i="1"/>
  <c r="N29" i="1"/>
  <c r="F29" i="1"/>
  <c r="E29" i="1" s="1"/>
  <c r="W28" i="1"/>
  <c r="O28" i="1"/>
  <c r="N28" i="1"/>
  <c r="F28" i="1"/>
  <c r="E28" i="1" s="1"/>
  <c r="W27" i="1"/>
  <c r="O27" i="1"/>
  <c r="N27" i="1"/>
  <c r="F27" i="1"/>
  <c r="E27" i="1" s="1"/>
  <c r="L22" i="1"/>
  <c r="F32" i="1"/>
  <c r="F13" i="1"/>
  <c r="F14" i="1"/>
  <c r="F15" i="1"/>
  <c r="F12" i="1"/>
  <c r="E12" i="1" s="1"/>
  <c r="O12" i="1"/>
  <c r="N12" i="1"/>
  <c r="E64" i="4"/>
  <c r="E63" i="4"/>
  <c r="E62" i="4"/>
  <c r="L17" i="1" l="1"/>
  <c r="N17" i="5"/>
  <c r="O17" i="5" s="1"/>
  <c r="O18" i="5"/>
  <c r="O20" i="5"/>
  <c r="O21" i="5"/>
  <c r="O22" i="5"/>
  <c r="O23" i="5"/>
  <c r="O11" i="5"/>
  <c r="O12" i="5"/>
  <c r="O13" i="5"/>
  <c r="O14" i="5"/>
  <c r="N10" i="5"/>
  <c r="O10" i="5" s="1"/>
  <c r="N9" i="5"/>
  <c r="O9" i="5" s="1"/>
  <c r="O5" i="5" l="1"/>
  <c r="N5" i="5"/>
  <c r="R5" i="5"/>
  <c r="P8" i="5" l="1"/>
  <c r="R8" i="5" s="1"/>
  <c r="P10" i="5"/>
  <c r="P18" i="5"/>
  <c r="P17" i="5"/>
  <c r="P41" i="5"/>
  <c r="P34" i="5"/>
  <c r="P13" i="5"/>
  <c r="P14" i="5"/>
  <c r="P11" i="5"/>
  <c r="P32" i="5"/>
  <c r="P37" i="5"/>
  <c r="P21" i="5"/>
  <c r="P22" i="5"/>
  <c r="P35" i="5"/>
  <c r="P33" i="5"/>
  <c r="P31" i="5"/>
  <c r="P28" i="5"/>
  <c r="P12" i="5"/>
  <c r="P40" i="5"/>
  <c r="P38" i="5"/>
  <c r="P36" i="5"/>
  <c r="P39" i="5"/>
  <c r="P23" i="5"/>
  <c r="P29" i="5"/>
  <c r="P30" i="5"/>
  <c r="P27" i="5"/>
  <c r="P9" i="5"/>
  <c r="P26" i="5"/>
  <c r="P20" i="5"/>
  <c r="R17" i="5" l="1"/>
  <c r="Q17" i="5"/>
  <c r="R18" i="5"/>
  <c r="Q18" i="5"/>
  <c r="Q22" i="5"/>
  <c r="R22" i="5"/>
  <c r="Q32" i="5"/>
  <c r="R32" i="5"/>
  <c r="R27" i="5"/>
  <c r="Q27" i="5"/>
  <c r="Q37" i="5"/>
  <c r="R37" i="5"/>
  <c r="Q11" i="5"/>
  <c r="R11" i="5"/>
  <c r="Q10" i="5"/>
  <c r="R10" i="5"/>
  <c r="Q9" i="5"/>
  <c r="R9" i="5"/>
  <c r="R30" i="5"/>
  <c r="Q30" i="5"/>
  <c r="R23" i="5"/>
  <c r="Q23" i="5"/>
  <c r="Q36" i="5"/>
  <c r="R36" i="5"/>
  <c r="Q38" i="5"/>
  <c r="R38" i="5"/>
  <c r="R40" i="5"/>
  <c r="Q40" i="5"/>
  <c r="Q14" i="5"/>
  <c r="R14" i="5"/>
  <c r="Q33" i="5"/>
  <c r="R33" i="5"/>
  <c r="Q21" i="5"/>
  <c r="R21" i="5"/>
  <c r="Q39" i="5"/>
  <c r="R39" i="5"/>
  <c r="R12" i="5"/>
  <c r="Q12" i="5"/>
  <c r="Q13" i="5"/>
  <c r="R13" i="5"/>
  <c r="Q29" i="5"/>
  <c r="R29" i="5"/>
  <c r="R34" i="5"/>
  <c r="Q34" i="5"/>
  <c r="Q35" i="5"/>
  <c r="R35" i="5"/>
  <c r="Q20" i="5"/>
  <c r="R20" i="5"/>
  <c r="R28" i="5"/>
  <c r="Q28" i="5"/>
  <c r="Q26" i="5"/>
  <c r="R26" i="5"/>
  <c r="Q31" i="5"/>
  <c r="R31" i="5"/>
  <c r="Q41" i="5"/>
  <c r="R41" i="5"/>
  <c r="O56" i="6"/>
  <c r="O55" i="6"/>
  <c r="O54" i="6"/>
  <c r="O53" i="6"/>
  <c r="O52" i="6"/>
  <c r="O51" i="6"/>
  <c r="O50" i="6"/>
  <c r="O49" i="6"/>
  <c r="O48" i="6"/>
  <c r="O47" i="6"/>
  <c r="O46" i="6"/>
  <c r="O45" i="6"/>
  <c r="N44" i="6"/>
  <c r="O44" i="6" s="1"/>
  <c r="O43" i="6"/>
  <c r="O41" i="6"/>
  <c r="O40" i="6"/>
  <c r="O39" i="6"/>
  <c r="L38" i="6"/>
  <c r="O38" i="6" s="1"/>
  <c r="O36" i="6"/>
  <c r="N36" i="6"/>
  <c r="O26" i="6"/>
  <c r="O25" i="6"/>
  <c r="O24" i="6"/>
  <c r="O23" i="6"/>
  <c r="O18" i="6"/>
  <c r="L17" i="6"/>
  <c r="L16" i="6"/>
  <c r="O13" i="6"/>
  <c r="N13" i="6"/>
  <c r="L13" i="6"/>
  <c r="O12" i="6"/>
  <c r="N12" i="6"/>
  <c r="L12" i="6"/>
  <c r="L11" i="6"/>
  <c r="L10" i="6"/>
  <c r="L9" i="6"/>
  <c r="L8" i="6"/>
  <c r="R5" i="6"/>
  <c r="R4" i="6" s="1"/>
  <c r="O5" i="6"/>
  <c r="O4" i="6" s="1"/>
  <c r="N5" i="6"/>
  <c r="O19" i="5"/>
  <c r="O6" i="5" s="1"/>
  <c r="R4" i="5"/>
  <c r="Q4" i="5"/>
  <c r="P4" i="5"/>
  <c r="O4" i="5"/>
  <c r="L55" i="1"/>
  <c r="F55" i="1"/>
  <c r="E55" i="1" s="1"/>
  <c r="W54" i="1"/>
  <c r="N54" i="1"/>
  <c r="F54" i="1"/>
  <c r="E54" i="1" s="1"/>
  <c r="E53" i="1"/>
  <c r="O52" i="1"/>
  <c r="N52" i="1"/>
  <c r="F52" i="1"/>
  <c r="E52" i="1" s="1"/>
  <c r="N51" i="1"/>
  <c r="F51" i="1"/>
  <c r="E51" i="1" s="1"/>
  <c r="E50" i="1"/>
  <c r="N49" i="1"/>
  <c r="F49" i="1"/>
  <c r="E49" i="1" s="1"/>
  <c r="N48" i="1"/>
  <c r="F48" i="1"/>
  <c r="E48" i="1" s="1"/>
  <c r="F47" i="1"/>
  <c r="E47" i="1" s="1"/>
  <c r="L46" i="1"/>
  <c r="N46" i="1" s="1"/>
  <c r="F46" i="1"/>
  <c r="E46" i="1" s="1"/>
  <c r="L45" i="1"/>
  <c r="N45" i="1" s="1"/>
  <c r="F45" i="1"/>
  <c r="E45" i="1" s="1"/>
  <c r="N44" i="1"/>
  <c r="F44" i="1"/>
  <c r="E44" i="1" s="1"/>
  <c r="N43" i="1"/>
  <c r="F43" i="1"/>
  <c r="E43" i="1" s="1"/>
  <c r="L42" i="1"/>
  <c r="N42" i="1" s="1"/>
  <c r="F42" i="1"/>
  <c r="E42" i="1" s="1"/>
  <c r="N41" i="1"/>
  <c r="F41" i="1"/>
  <c r="E41" i="1" s="1"/>
  <c r="N40" i="1"/>
  <c r="F40" i="1"/>
  <c r="E40" i="1" s="1"/>
  <c r="F39" i="1"/>
  <c r="E39" i="1" s="1"/>
  <c r="F30" i="1"/>
  <c r="E30" i="1" s="1"/>
  <c r="W26" i="1"/>
  <c r="O26" i="1"/>
  <c r="N26" i="1"/>
  <c r="F26" i="1"/>
  <c r="E26" i="1" s="1"/>
  <c r="W25" i="1"/>
  <c r="N25" i="1"/>
  <c r="F25" i="1"/>
  <c r="E25" i="1" s="1"/>
  <c r="E24" i="1"/>
  <c r="W23" i="1"/>
  <c r="O23" i="1"/>
  <c r="N23" i="1"/>
  <c r="F23" i="1"/>
  <c r="E23" i="1" s="1"/>
  <c r="U22" i="1"/>
  <c r="F22" i="1"/>
  <c r="E22" i="1" s="1"/>
  <c r="E21" i="1"/>
  <c r="N17" i="1"/>
  <c r="F17" i="1"/>
  <c r="E17" i="1" s="1"/>
  <c r="E16" i="1"/>
  <c r="O38" i="1"/>
  <c r="N38" i="1"/>
  <c r="F38" i="1"/>
  <c r="E38" i="1" s="1"/>
  <c r="O37" i="1"/>
  <c r="N37" i="1"/>
  <c r="F37" i="1"/>
  <c r="E37" i="1" s="1"/>
  <c r="O36" i="1"/>
  <c r="N36" i="1"/>
  <c r="F36" i="1"/>
  <c r="E36" i="1" s="1"/>
  <c r="O35" i="1"/>
  <c r="N35" i="1"/>
  <c r="F35" i="1"/>
  <c r="E35" i="1" s="1"/>
  <c r="N34" i="1"/>
  <c r="F34" i="1"/>
  <c r="E34" i="1" s="1"/>
  <c r="N33" i="1"/>
  <c r="F33" i="1"/>
  <c r="E33" i="1" s="1"/>
  <c r="N32" i="1"/>
  <c r="E32" i="1"/>
  <c r="E31" i="1"/>
  <c r="O15" i="1"/>
  <c r="N15" i="1"/>
  <c r="E15" i="1"/>
  <c r="O14" i="1"/>
  <c r="N14" i="1"/>
  <c r="E14" i="1"/>
  <c r="U13" i="1"/>
  <c r="O13" i="1"/>
  <c r="N13" i="1"/>
  <c r="E13" i="1"/>
  <c r="N11" i="1"/>
  <c r="F11" i="1"/>
  <c r="E11" i="1" s="1"/>
  <c r="E10" i="1"/>
  <c r="W9" i="1"/>
  <c r="E9" i="1"/>
  <c r="N8" i="1"/>
  <c r="F8" i="1"/>
  <c r="E8" i="1" s="1"/>
  <c r="Z5" i="1"/>
  <c r="Z4" i="1" s="1"/>
  <c r="W5" i="1"/>
  <c r="R5" i="1"/>
  <c r="R4" i="1" s="1"/>
  <c r="O5" i="1"/>
  <c r="E36" i="2"/>
  <c r="E20" i="2"/>
  <c r="C10" i="2"/>
  <c r="F67" i="9"/>
  <c r="E67" i="9"/>
  <c r="F66" i="9"/>
  <c r="E66" i="9"/>
  <c r="F65" i="9"/>
  <c r="E65" i="9"/>
  <c r="F64" i="9"/>
  <c r="E64" i="9"/>
  <c r="F63" i="9"/>
  <c r="E63" i="9"/>
  <c r="F62" i="9"/>
  <c r="E62" i="9"/>
  <c r="F61" i="9"/>
  <c r="E61" i="9"/>
  <c r="F60" i="9"/>
  <c r="E60" i="9"/>
  <c r="F59" i="9"/>
  <c r="E59" i="9"/>
  <c r="F58" i="9"/>
  <c r="E58" i="9"/>
  <c r="F57" i="9"/>
  <c r="E57" i="9"/>
  <c r="F56" i="9"/>
  <c r="E56" i="9"/>
  <c r="E55" i="9"/>
  <c r="H53" i="9"/>
  <c r="K50" i="9"/>
  <c r="J50" i="9"/>
  <c r="H24" i="9"/>
  <c r="E21" i="9"/>
  <c r="E18" i="9"/>
  <c r="G18" i="9" s="1"/>
  <c r="F17" i="9"/>
  <c r="E17" i="9"/>
  <c r="G17" i="9" s="1"/>
  <c r="H17" i="9" s="1"/>
  <c r="F16" i="9"/>
  <c r="K16" i="9" s="1"/>
  <c r="E16" i="9"/>
  <c r="G16" i="9" s="1"/>
  <c r="E15" i="9"/>
  <c r="G15" i="9" s="1"/>
  <c r="E14" i="9"/>
  <c r="G14" i="9" s="1"/>
  <c r="E13" i="9"/>
  <c r="G13" i="9" s="1"/>
  <c r="E12" i="9"/>
  <c r="G12" i="9" s="1"/>
  <c r="E11" i="9"/>
  <c r="G11" i="9" s="1"/>
  <c r="E10" i="9"/>
  <c r="G10" i="9" s="1"/>
  <c r="E9" i="9"/>
  <c r="G9" i="9" s="1"/>
  <c r="H7" i="9"/>
  <c r="K1" i="9"/>
  <c r="H1" i="9"/>
  <c r="F59" i="4"/>
  <c r="I1" i="4"/>
  <c r="K57" i="9" l="1"/>
  <c r="H57" i="9"/>
  <c r="I57" i="9" s="1"/>
  <c r="J57" i="9" s="1"/>
  <c r="H59" i="9"/>
  <c r="K59" i="9"/>
  <c r="H61" i="9"/>
  <c r="K61" i="9"/>
  <c r="H63" i="9"/>
  <c r="I63" i="9" s="1"/>
  <c r="J63" i="9" s="1"/>
  <c r="K63" i="9"/>
  <c r="H65" i="9"/>
  <c r="K65" i="9"/>
  <c r="K67" i="9"/>
  <c r="H67" i="9"/>
  <c r="K17" i="9"/>
  <c r="R54" i="1"/>
  <c r="R48" i="1"/>
  <c r="R43" i="1"/>
  <c r="R18" i="1"/>
  <c r="O8" i="1"/>
  <c r="Z8" i="1"/>
  <c r="W13" i="1"/>
  <c r="X13" i="1" s="1"/>
  <c r="Y13" i="1" s="1"/>
  <c r="R22" i="1"/>
  <c r="R17" i="1"/>
  <c r="Z12" i="1"/>
  <c r="Z11" i="1"/>
  <c r="W41" i="1"/>
  <c r="W32" i="1"/>
  <c r="R32" i="1"/>
  <c r="R20" i="1"/>
  <c r="R11" i="1"/>
  <c r="Z13" i="1"/>
  <c r="W11" i="1"/>
  <c r="R49" i="1"/>
  <c r="R40" i="1"/>
  <c r="R25" i="1"/>
  <c r="R19" i="1"/>
  <c r="R8" i="1"/>
  <c r="Z41" i="1"/>
  <c r="Z31" i="1"/>
  <c r="W12" i="1"/>
  <c r="X12" i="1" s="1"/>
  <c r="Y12" i="1" s="1"/>
  <c r="W8" i="1"/>
  <c r="X8" i="1" s="1"/>
  <c r="Y8" i="1" s="1"/>
  <c r="H16" i="9"/>
  <c r="I16" i="9" s="1"/>
  <c r="K56" i="9"/>
  <c r="H56" i="9"/>
  <c r="H58" i="9"/>
  <c r="K58" i="9"/>
  <c r="K60" i="9"/>
  <c r="H60" i="9"/>
  <c r="I60" i="9" s="1"/>
  <c r="H62" i="9"/>
  <c r="I62" i="9" s="1"/>
  <c r="K62" i="9"/>
  <c r="H64" i="9"/>
  <c r="K64" i="9"/>
  <c r="K66" i="9"/>
  <c r="H66" i="9"/>
  <c r="X18" i="1"/>
  <c r="Y18" i="1" s="1"/>
  <c r="X14" i="1"/>
  <c r="Y14" i="1" s="1"/>
  <c r="X15" i="1"/>
  <c r="Y15" i="1" s="1"/>
  <c r="W33" i="1"/>
  <c r="X33" i="1" s="1"/>
  <c r="Y33" i="1" s="1"/>
  <c r="W22" i="1"/>
  <c r="X22" i="1" s="1"/>
  <c r="Y22" i="1" s="1"/>
  <c r="O18" i="1"/>
  <c r="O20" i="1"/>
  <c r="O19" i="1"/>
  <c r="F9" i="9"/>
  <c r="G62" i="4"/>
  <c r="F10" i="9"/>
  <c r="K10" i="9" s="1"/>
  <c r="W24" i="1"/>
  <c r="X20" i="1"/>
  <c r="Y20" i="1" s="1"/>
  <c r="X19" i="1"/>
  <c r="Y19" i="1" s="1"/>
  <c r="P29" i="1"/>
  <c r="Q29" i="1" s="1"/>
  <c r="P27" i="1"/>
  <c r="Q27" i="1" s="1"/>
  <c r="P28" i="1"/>
  <c r="Q28" i="1" s="1"/>
  <c r="W4" i="1"/>
  <c r="X27" i="1"/>
  <c r="Y27" i="1" s="1"/>
  <c r="X28" i="1"/>
  <c r="Y28" i="1" s="1"/>
  <c r="X29" i="1"/>
  <c r="Y29" i="1" s="1"/>
  <c r="O4" i="1"/>
  <c r="P12" i="1"/>
  <c r="Q12" i="1" s="1"/>
  <c r="X46" i="1"/>
  <c r="Y46" i="1" s="1"/>
  <c r="F18" i="9"/>
  <c r="I67" i="9"/>
  <c r="N22" i="1"/>
  <c r="F15" i="9" s="1"/>
  <c r="F55" i="9"/>
  <c r="I58" i="9"/>
  <c r="J58" i="9" s="1"/>
  <c r="I64" i="9"/>
  <c r="J64" i="9" s="1"/>
  <c r="I65" i="9"/>
  <c r="J65" i="9" s="1"/>
  <c r="I61" i="9"/>
  <c r="J61" i="9" s="1"/>
  <c r="I66" i="9"/>
  <c r="P47" i="6"/>
  <c r="Q47" i="6" s="1"/>
  <c r="R47" i="6" s="1"/>
  <c r="W17" i="1"/>
  <c r="O41" i="1"/>
  <c r="W44" i="1"/>
  <c r="P13" i="6"/>
  <c r="Q13" i="6" s="1"/>
  <c r="R13" i="6" s="1"/>
  <c r="O33" i="1"/>
  <c r="O34" i="1"/>
  <c r="O22" i="1"/>
  <c r="O40" i="1"/>
  <c r="X32" i="1"/>
  <c r="W34" i="1"/>
  <c r="W35" i="1"/>
  <c r="W36" i="1"/>
  <c r="N28" i="6"/>
  <c r="O28" i="6" s="1"/>
  <c r="P28" i="6" s="1"/>
  <c r="P40" i="6"/>
  <c r="Q40" i="6" s="1"/>
  <c r="R40" i="6" s="1"/>
  <c r="N29" i="6"/>
  <c r="O29" i="6" s="1"/>
  <c r="P29" i="6" s="1"/>
  <c r="Q29" i="6" s="1"/>
  <c r="R29" i="6" s="1"/>
  <c r="P48" i="6"/>
  <c r="Q48" i="6" s="1"/>
  <c r="R48" i="6" s="1"/>
  <c r="N33" i="6"/>
  <c r="O33" i="6" s="1"/>
  <c r="P33" i="6" s="1"/>
  <c r="Q33" i="6" s="1"/>
  <c r="R33" i="6" s="1"/>
  <c r="P41" i="6"/>
  <c r="Q41" i="6" s="1"/>
  <c r="R41" i="6" s="1"/>
  <c r="P49" i="6"/>
  <c r="Q49" i="6" s="1"/>
  <c r="R49" i="6" s="1"/>
  <c r="N34" i="6"/>
  <c r="O34" i="6" s="1"/>
  <c r="P34" i="6" s="1"/>
  <c r="Q34" i="6" s="1"/>
  <c r="R34" i="6" s="1"/>
  <c r="O45" i="1"/>
  <c r="O54" i="1"/>
  <c r="O16" i="6"/>
  <c r="P43" i="6"/>
  <c r="Q43" i="6" s="1"/>
  <c r="R43" i="6" s="1"/>
  <c r="P50" i="6"/>
  <c r="Q50" i="6" s="1"/>
  <c r="R50" i="6" s="1"/>
  <c r="P36" i="6"/>
  <c r="Q36" i="6" s="1"/>
  <c r="R36" i="6" s="1"/>
  <c r="P51" i="6"/>
  <c r="Q51" i="6" s="1"/>
  <c r="R51" i="6" s="1"/>
  <c r="P25" i="5"/>
  <c r="G64" i="4" s="1"/>
  <c r="K64" i="4" s="1"/>
  <c r="N9" i="6"/>
  <c r="O9" i="6" s="1"/>
  <c r="P9" i="6" s="1"/>
  <c r="Q9" i="6" s="1"/>
  <c r="R9" i="6" s="1"/>
  <c r="P52" i="6"/>
  <c r="Q52" i="6" s="1"/>
  <c r="R52" i="6" s="1"/>
  <c r="I17" i="9"/>
  <c r="P38" i="1"/>
  <c r="Q38" i="1" s="1"/>
  <c r="P23" i="1"/>
  <c r="Q23" i="1" s="1"/>
  <c r="O51" i="1"/>
  <c r="O20" i="6"/>
  <c r="P38" i="6"/>
  <c r="Q38" i="6" s="1"/>
  <c r="R38" i="6" s="1"/>
  <c r="P44" i="6"/>
  <c r="Q44" i="6" s="1"/>
  <c r="R44" i="6" s="1"/>
  <c r="P53" i="6"/>
  <c r="Q53" i="6" s="1"/>
  <c r="R53" i="6" s="1"/>
  <c r="O32" i="1"/>
  <c r="P45" i="6"/>
  <c r="Q45" i="6" s="1"/>
  <c r="R45" i="6" s="1"/>
  <c r="P54" i="6"/>
  <c r="Q54" i="6" s="1"/>
  <c r="R54" i="6" s="1"/>
  <c r="N11" i="6"/>
  <c r="O11" i="6" s="1"/>
  <c r="P11" i="6" s="1"/>
  <c r="Q11" i="6" s="1"/>
  <c r="R11" i="6" s="1"/>
  <c r="P39" i="6"/>
  <c r="Q39" i="6" s="1"/>
  <c r="R39" i="6" s="1"/>
  <c r="P55" i="6"/>
  <c r="Q55" i="6" s="1"/>
  <c r="R55" i="6" s="1"/>
  <c r="I59" i="9"/>
  <c r="X43" i="1"/>
  <c r="Y43" i="1" s="1"/>
  <c r="P46" i="6"/>
  <c r="Q46" i="6" s="1"/>
  <c r="R46" i="6" s="1"/>
  <c r="P56" i="6"/>
  <c r="Q56" i="6" s="1"/>
  <c r="R56" i="6" s="1"/>
  <c r="P19" i="5"/>
  <c r="G63" i="4" s="1"/>
  <c r="Q8" i="5"/>
  <c r="F14" i="9"/>
  <c r="H14" i="9" s="1"/>
  <c r="P52" i="1"/>
  <c r="Q52" i="1" s="1"/>
  <c r="P35" i="1"/>
  <c r="Q35" i="1" s="1"/>
  <c r="P36" i="1"/>
  <c r="Q36" i="1" s="1"/>
  <c r="P37" i="1"/>
  <c r="Q37" i="1" s="1"/>
  <c r="X9" i="1"/>
  <c r="Y9" i="1" s="1"/>
  <c r="O11" i="1"/>
  <c r="W37" i="1"/>
  <c r="W38" i="1"/>
  <c r="X23" i="1"/>
  <c r="Y23" i="1" s="1"/>
  <c r="O25" i="1"/>
  <c r="X40" i="1"/>
  <c r="Y40" i="1" s="1"/>
  <c r="W45" i="1"/>
  <c r="O46" i="1"/>
  <c r="X54" i="1"/>
  <c r="X53" i="1" s="1"/>
  <c r="N8" i="6"/>
  <c r="O8" i="6" s="1"/>
  <c r="P8" i="6" s="1"/>
  <c r="Q8" i="6" s="1"/>
  <c r="R8" i="6" s="1"/>
  <c r="N10" i="6"/>
  <c r="O10" i="6" s="1"/>
  <c r="P10" i="6" s="1"/>
  <c r="Q10" i="6" s="1"/>
  <c r="R10" i="6" s="1"/>
  <c r="O21" i="6"/>
  <c r="P13" i="1"/>
  <c r="Q13" i="1" s="1"/>
  <c r="P14" i="1"/>
  <c r="Q14" i="1" s="1"/>
  <c r="P15" i="1"/>
  <c r="Q15" i="1" s="1"/>
  <c r="F11" i="9"/>
  <c r="F12" i="9"/>
  <c r="O17" i="1"/>
  <c r="X26" i="1"/>
  <c r="Y26" i="1" s="1"/>
  <c r="O43" i="1"/>
  <c r="O44" i="1"/>
  <c r="O48" i="1"/>
  <c r="O49" i="1"/>
  <c r="P12" i="6"/>
  <c r="Q12" i="6" s="1"/>
  <c r="R12" i="6" s="1"/>
  <c r="O17" i="6"/>
  <c r="O22" i="6"/>
  <c r="N32" i="6"/>
  <c r="O32" i="6" s="1"/>
  <c r="P32" i="6" s="1"/>
  <c r="Q32" i="6" s="1"/>
  <c r="R32" i="6" s="1"/>
  <c r="N35" i="6"/>
  <c r="O35" i="6" s="1"/>
  <c r="P35" i="6" s="1"/>
  <c r="Q35" i="6" s="1"/>
  <c r="R35" i="6" s="1"/>
  <c r="F13" i="9"/>
  <c r="H13" i="9" s="1"/>
  <c r="A30" i="4"/>
  <c r="P26" i="1"/>
  <c r="Q26" i="1" s="1"/>
  <c r="A22" i="9"/>
  <c r="W42" i="1"/>
  <c r="O42" i="1"/>
  <c r="W53" i="1"/>
  <c r="X25" i="1"/>
  <c r="W21" i="1" l="1"/>
  <c r="K15" i="9"/>
  <c r="H15" i="9"/>
  <c r="I15" i="9" s="1"/>
  <c r="J15" i="9" s="1"/>
  <c r="I13" i="9"/>
  <c r="K13" i="9"/>
  <c r="K12" i="9"/>
  <c r="H12" i="9"/>
  <c r="I12" i="9" s="1"/>
  <c r="J12" i="9" s="1"/>
  <c r="K18" i="9"/>
  <c r="H9" i="9"/>
  <c r="K9" i="9"/>
  <c r="F31" i="9"/>
  <c r="F28" i="9"/>
  <c r="F32" i="9"/>
  <c r="F29" i="9"/>
  <c r="F33" i="9"/>
  <c r="F30" i="9"/>
  <c r="F34" i="9"/>
  <c r="K11" i="9"/>
  <c r="I14" i="9"/>
  <c r="K14" i="9"/>
  <c r="H55" i="9"/>
  <c r="K55" i="9"/>
  <c r="K51" i="9" s="1"/>
  <c r="H18" i="9"/>
  <c r="I18" i="9" s="1"/>
  <c r="J18" i="9" s="1"/>
  <c r="H11" i="9"/>
  <c r="I11" i="9" s="1"/>
  <c r="J11" i="9" s="1"/>
  <c r="H10" i="9"/>
  <c r="I10" i="9" s="1"/>
  <c r="F41" i="4"/>
  <c r="I41" i="4"/>
  <c r="K41" i="4" s="1"/>
  <c r="I37" i="4"/>
  <c r="K37" i="4" s="1"/>
  <c r="G33" i="4"/>
  <c r="I39" i="4"/>
  <c r="I43" i="4"/>
  <c r="K43" i="4" s="1"/>
  <c r="I40" i="4"/>
  <c r="K40" i="4" s="1"/>
  <c r="I42" i="4"/>
  <c r="K42" i="4" s="1"/>
  <c r="I33" i="4"/>
  <c r="X42" i="1"/>
  <c r="Y42" i="1" s="1"/>
  <c r="G36" i="4"/>
  <c r="I36" i="4"/>
  <c r="K36" i="4" s="1"/>
  <c r="P40" i="1"/>
  <c r="W16" i="1"/>
  <c r="I35" i="4"/>
  <c r="K35" i="4" s="1"/>
  <c r="P42" i="1"/>
  <c r="Q42" i="1" s="1"/>
  <c r="X37" i="1"/>
  <c r="Y37" i="1" s="1"/>
  <c r="P43" i="1"/>
  <c r="Q43" i="1" s="1"/>
  <c r="P8" i="1"/>
  <c r="P7" i="1" s="1"/>
  <c r="P11" i="1"/>
  <c r="P10" i="1" s="1"/>
  <c r="P51" i="1"/>
  <c r="P50" i="1" s="1"/>
  <c r="X36" i="1"/>
  <c r="Y36" i="1" s="1"/>
  <c r="O21" i="1"/>
  <c r="P19" i="1"/>
  <c r="Q19" i="1" s="1"/>
  <c r="P44" i="1"/>
  <c r="Q44" i="1" s="1"/>
  <c r="P49" i="1"/>
  <c r="Q49" i="1" s="1"/>
  <c r="P46" i="1"/>
  <c r="Q46" i="1" s="1"/>
  <c r="P54" i="1"/>
  <c r="Q54" i="1" s="1"/>
  <c r="Q53" i="1" s="1"/>
  <c r="X35" i="1"/>
  <c r="Y35" i="1" s="1"/>
  <c r="P34" i="1"/>
  <c r="Q34" i="1" s="1"/>
  <c r="X44" i="1"/>
  <c r="Y44" i="1" s="1"/>
  <c r="P20" i="1"/>
  <c r="Q20" i="1" s="1"/>
  <c r="P48" i="1"/>
  <c r="Q48" i="1" s="1"/>
  <c r="X45" i="1"/>
  <c r="Y45" i="1" s="1"/>
  <c r="X38" i="1"/>
  <c r="Y38" i="1" s="1"/>
  <c r="P45" i="1"/>
  <c r="Q45" i="1" s="1"/>
  <c r="X34" i="1"/>
  <c r="Y34" i="1" s="1"/>
  <c r="P33" i="1"/>
  <c r="Q33" i="1" s="1"/>
  <c r="P41" i="1"/>
  <c r="Q41" i="1" s="1"/>
  <c r="P18" i="1"/>
  <c r="Q18" i="1" s="1"/>
  <c r="W7" i="1"/>
  <c r="I64" i="4"/>
  <c r="O16" i="1"/>
  <c r="P17" i="1"/>
  <c r="I63" i="4"/>
  <c r="H63" i="4"/>
  <c r="K63" i="4"/>
  <c r="N51" i="9" s="1"/>
  <c r="I62" i="4"/>
  <c r="K62" i="4"/>
  <c r="H62" i="4"/>
  <c r="P6" i="5"/>
  <c r="G61" i="4" s="1"/>
  <c r="H64" i="4"/>
  <c r="I56" i="9"/>
  <c r="J56" i="9" s="1"/>
  <c r="P25" i="1"/>
  <c r="O24" i="1"/>
  <c r="X24" i="1"/>
  <c r="J67" i="9"/>
  <c r="J16" i="9"/>
  <c r="Q19" i="5"/>
  <c r="R19" i="5"/>
  <c r="Y54" i="1"/>
  <c r="Y53" i="1" s="1"/>
  <c r="Q25" i="5"/>
  <c r="R25" i="5"/>
  <c r="J62" i="9"/>
  <c r="O53" i="1"/>
  <c r="O31" i="1"/>
  <c r="J66" i="9"/>
  <c r="J60" i="9"/>
  <c r="X50" i="1"/>
  <c r="X17" i="1"/>
  <c r="G45" i="4" s="1"/>
  <c r="K45" i="4" s="1"/>
  <c r="P32" i="1"/>
  <c r="W50" i="1"/>
  <c r="J59" i="9"/>
  <c r="O10" i="1"/>
  <c r="W47" i="1"/>
  <c r="P22" i="1"/>
  <c r="P21" i="1" s="1"/>
  <c r="J14" i="9"/>
  <c r="O50" i="1"/>
  <c r="C50" i="1" s="1"/>
  <c r="X21" i="1"/>
  <c r="W39" i="1"/>
  <c r="X7" i="1"/>
  <c r="O7" i="1"/>
  <c r="C7" i="1" s="1"/>
  <c r="B7" i="1" s="1"/>
  <c r="J17" i="9"/>
  <c r="W31" i="1"/>
  <c r="X41" i="1"/>
  <c r="O39" i="1"/>
  <c r="J13" i="9"/>
  <c r="Q11" i="1"/>
  <c r="R10" i="1" s="1"/>
  <c r="E58" i="4"/>
  <c r="E52" i="4"/>
  <c r="E45" i="4"/>
  <c r="F54" i="4"/>
  <c r="F39" i="4"/>
  <c r="G55" i="4"/>
  <c r="G37" i="4"/>
  <c r="G58" i="4"/>
  <c r="G46" i="4"/>
  <c r="F43" i="4"/>
  <c r="F40" i="4"/>
  <c r="F44" i="4"/>
  <c r="O47" i="1"/>
  <c r="O6" i="6"/>
  <c r="G53" i="4"/>
  <c r="E35" i="4"/>
  <c r="G51" i="4"/>
  <c r="E48" i="4"/>
  <c r="F51" i="4"/>
  <c r="G44" i="4"/>
  <c r="G50" i="4"/>
  <c r="E37" i="4"/>
  <c r="F36" i="4"/>
  <c r="E36" i="4"/>
  <c r="V13" i="5"/>
  <c r="F47" i="4"/>
  <c r="E56" i="4"/>
  <c r="E33" i="4"/>
  <c r="E49" i="4"/>
  <c r="F33" i="4"/>
  <c r="E42" i="4"/>
  <c r="G49" i="4"/>
  <c r="F56" i="4"/>
  <c r="E39" i="4"/>
  <c r="F46" i="4"/>
  <c r="E53" i="4"/>
  <c r="F53" i="4"/>
  <c r="F34" i="4"/>
  <c r="F35" i="4"/>
  <c r="E44" i="4"/>
  <c r="E51" i="4"/>
  <c r="F58" i="4"/>
  <c r="F48" i="4"/>
  <c r="E55" i="4"/>
  <c r="G56" i="4"/>
  <c r="K56" i="4" s="1"/>
  <c r="F50" i="4"/>
  <c r="F57" i="4"/>
  <c r="G43" i="4"/>
  <c r="E54" i="4"/>
  <c r="E40" i="4"/>
  <c r="F45" i="4"/>
  <c r="F55" i="4"/>
  <c r="E41" i="4"/>
  <c r="F37" i="4"/>
  <c r="E46" i="4"/>
  <c r="F52" i="4"/>
  <c r="E34" i="4"/>
  <c r="F42" i="4"/>
  <c r="E50" i="4"/>
  <c r="E57" i="4"/>
  <c r="E43" i="4"/>
  <c r="E47" i="4"/>
  <c r="E49" i="9"/>
  <c r="G49" i="9" s="1"/>
  <c r="E47" i="9"/>
  <c r="G47" i="9" s="1"/>
  <c r="E45" i="9"/>
  <c r="G45" i="9" s="1"/>
  <c r="E43" i="9"/>
  <c r="G43" i="9" s="1"/>
  <c r="E41" i="9"/>
  <c r="G41" i="9" s="1"/>
  <c r="E39" i="9"/>
  <c r="G39" i="9" s="1"/>
  <c r="E37" i="9"/>
  <c r="G37" i="9" s="1"/>
  <c r="E35" i="9"/>
  <c r="G35" i="9" s="1"/>
  <c r="E33" i="9"/>
  <c r="G33" i="9" s="1"/>
  <c r="E31" i="9"/>
  <c r="G31" i="9" s="1"/>
  <c r="E29" i="9"/>
  <c r="G29" i="9" s="1"/>
  <c r="E27" i="9"/>
  <c r="G27" i="9" s="1"/>
  <c r="E25" i="9"/>
  <c r="G25" i="9" s="1"/>
  <c r="F48" i="9"/>
  <c r="F46" i="9"/>
  <c r="F44" i="9"/>
  <c r="F42" i="9"/>
  <c r="F40" i="9"/>
  <c r="F38" i="9"/>
  <c r="F26" i="9"/>
  <c r="E46" i="9"/>
  <c r="G46" i="9" s="1"/>
  <c r="E42" i="9"/>
  <c r="G42" i="9" s="1"/>
  <c r="E38" i="9"/>
  <c r="G38" i="9" s="1"/>
  <c r="E34" i="9"/>
  <c r="G34" i="9" s="1"/>
  <c r="E30" i="9"/>
  <c r="G30" i="9" s="1"/>
  <c r="E26" i="9"/>
  <c r="G26" i="9" s="1"/>
  <c r="F45" i="9"/>
  <c r="F41" i="9"/>
  <c r="F25" i="9"/>
  <c r="E48" i="9"/>
  <c r="G48" i="9" s="1"/>
  <c r="E44" i="9"/>
  <c r="G44" i="9" s="1"/>
  <c r="E40" i="9"/>
  <c r="G40" i="9" s="1"/>
  <c r="E36" i="9"/>
  <c r="G36" i="9" s="1"/>
  <c r="E32" i="9"/>
  <c r="G32" i="9" s="1"/>
  <c r="E28" i="9"/>
  <c r="F49" i="9"/>
  <c r="F37" i="9"/>
  <c r="F47" i="9"/>
  <c r="F43" i="9"/>
  <c r="F39" i="9"/>
  <c r="F35" i="9"/>
  <c r="F27" i="9"/>
  <c r="F49" i="4"/>
  <c r="G52" i="4"/>
  <c r="K52" i="4" s="1"/>
  <c r="R53" i="1"/>
  <c r="Y32" i="1"/>
  <c r="G39" i="4"/>
  <c r="Q40" i="1"/>
  <c r="Y25" i="1"/>
  <c r="Y24" i="1" s="1"/>
  <c r="Z7" i="1"/>
  <c r="Y7" i="1"/>
  <c r="Q28" i="6"/>
  <c r="P6" i="6"/>
  <c r="Q51" i="1"/>
  <c r="Q50" i="1" s="1"/>
  <c r="Z21" i="1"/>
  <c r="Y21" i="1"/>
  <c r="G57" i="4"/>
  <c r="K57" i="4" s="1"/>
  <c r="Y50" i="1"/>
  <c r="G54" i="4"/>
  <c r="K54" i="4" s="1"/>
  <c r="R47" i="1"/>
  <c r="G47" i="4"/>
  <c r="K47" i="4" s="1"/>
  <c r="P53" i="1" l="1"/>
  <c r="X47" i="1"/>
  <c r="G40" i="4"/>
  <c r="Q47" i="1"/>
  <c r="X31" i="1"/>
  <c r="P31" i="1"/>
  <c r="I38" i="4"/>
  <c r="G28" i="9"/>
  <c r="H28" i="9" s="1"/>
  <c r="I28" i="9" s="1"/>
  <c r="J28" i="9" s="1"/>
  <c r="K26" i="9"/>
  <c r="K32" i="9"/>
  <c r="K30" i="9"/>
  <c r="K25" i="9"/>
  <c r="K33" i="9"/>
  <c r="H25" i="9"/>
  <c r="K27" i="9"/>
  <c r="K29" i="9"/>
  <c r="K33" i="4"/>
  <c r="K39" i="4"/>
  <c r="K31" i="9"/>
  <c r="H31" i="9"/>
  <c r="I31" i="9" s="1"/>
  <c r="J31" i="9" s="1"/>
  <c r="P47" i="1"/>
  <c r="P39" i="1"/>
  <c r="G35" i="4"/>
  <c r="H35" i="4" s="1"/>
  <c r="Q8" i="1"/>
  <c r="R7" i="1" s="1"/>
  <c r="P16" i="1"/>
  <c r="X39" i="1"/>
  <c r="K61" i="4"/>
  <c r="I61" i="4"/>
  <c r="J10" i="9"/>
  <c r="G41" i="4"/>
  <c r="H41" i="4" s="1"/>
  <c r="I55" i="9"/>
  <c r="I51" i="9" s="1"/>
  <c r="J51" i="9" s="1"/>
  <c r="H51" i="9"/>
  <c r="B31" i="1"/>
  <c r="O30" i="1"/>
  <c r="W30" i="1"/>
  <c r="W55" i="1" s="1"/>
  <c r="O6" i="1"/>
  <c r="K49" i="4"/>
  <c r="H46" i="4"/>
  <c r="K46" i="4"/>
  <c r="I58" i="4"/>
  <c r="K58" i="4"/>
  <c r="H55" i="4"/>
  <c r="K55" i="4"/>
  <c r="H50" i="4"/>
  <c r="K50" i="4"/>
  <c r="H53" i="4"/>
  <c r="K53" i="4"/>
  <c r="I51" i="4"/>
  <c r="K51" i="4"/>
  <c r="I44" i="4"/>
  <c r="K44" i="4"/>
  <c r="H36" i="4"/>
  <c r="Q25" i="1"/>
  <c r="P24" i="1"/>
  <c r="G42" i="4"/>
  <c r="X16" i="1"/>
  <c r="Z53" i="1"/>
  <c r="H35" i="9"/>
  <c r="I35" i="9" s="1"/>
  <c r="J35" i="9" s="1"/>
  <c r="Q32" i="1"/>
  <c r="Q31" i="1" s="1"/>
  <c r="Y17" i="1"/>
  <c r="Y16" i="1" s="1"/>
  <c r="H43" i="4"/>
  <c r="Q17" i="1"/>
  <c r="T14" i="5"/>
  <c r="Q10" i="1"/>
  <c r="G48" i="4"/>
  <c r="K48" i="4" s="1"/>
  <c r="Y41" i="1"/>
  <c r="Q22" i="1"/>
  <c r="Q21" i="1" s="1"/>
  <c r="I55" i="4"/>
  <c r="H58" i="4"/>
  <c r="H33" i="4"/>
  <c r="I46" i="4"/>
  <c r="H5" i="9"/>
  <c r="I53" i="4"/>
  <c r="H44" i="4"/>
  <c r="H51" i="4"/>
  <c r="H41" i="9"/>
  <c r="I41" i="9" s="1"/>
  <c r="J41" i="9" s="1"/>
  <c r="I50" i="4"/>
  <c r="H37" i="4"/>
  <c r="H39" i="9"/>
  <c r="I39" i="9" s="1"/>
  <c r="K39" i="9" s="1"/>
  <c r="H46" i="9"/>
  <c r="I46" i="9" s="1"/>
  <c r="J46" i="9" s="1"/>
  <c r="H49" i="4"/>
  <c r="I49" i="4"/>
  <c r="H40" i="4"/>
  <c r="H47" i="9"/>
  <c r="I47" i="9" s="1"/>
  <c r="J47" i="9" s="1"/>
  <c r="I56" i="4"/>
  <c r="H56" i="4"/>
  <c r="H49" i="9"/>
  <c r="I49" i="9" s="1"/>
  <c r="H37" i="9"/>
  <c r="I37" i="9" s="1"/>
  <c r="J37" i="9" s="1"/>
  <c r="H45" i="9"/>
  <c r="I45" i="9" s="1"/>
  <c r="K45" i="9" s="1"/>
  <c r="H44" i="9"/>
  <c r="I44" i="9" s="1"/>
  <c r="J44" i="9" s="1"/>
  <c r="H38" i="9"/>
  <c r="I38" i="9" s="1"/>
  <c r="H40" i="9"/>
  <c r="H48" i="9"/>
  <c r="I48" i="9" s="1"/>
  <c r="H36" i="9"/>
  <c r="I36" i="9" s="1"/>
  <c r="H43" i="9"/>
  <c r="I43" i="9" s="1"/>
  <c r="H42" i="9"/>
  <c r="I42" i="9" s="1"/>
  <c r="I47" i="4"/>
  <c r="H47" i="4"/>
  <c r="Z50" i="1"/>
  <c r="Y31" i="1"/>
  <c r="R50" i="1"/>
  <c r="Z24" i="1"/>
  <c r="R39" i="1"/>
  <c r="Q39" i="1"/>
  <c r="Z47" i="1"/>
  <c r="Y47" i="1"/>
  <c r="H45" i="4"/>
  <c r="I45" i="4"/>
  <c r="D7" i="1"/>
  <c r="I54" i="4"/>
  <c r="H54" i="4"/>
  <c r="H57" i="4"/>
  <c r="I57" i="4"/>
  <c r="R28" i="6"/>
  <c r="R6" i="6" s="1"/>
  <c r="Q6" i="6"/>
  <c r="H39" i="4"/>
  <c r="I52" i="4"/>
  <c r="H52" i="4"/>
  <c r="P6" i="1" l="1"/>
  <c r="P30" i="1"/>
  <c r="X30" i="1"/>
  <c r="K28" i="9"/>
  <c r="H33" i="9"/>
  <c r="I33" i="9" s="1"/>
  <c r="J33" i="9" s="1"/>
  <c r="H27" i="9"/>
  <c r="I27" i="9" s="1"/>
  <c r="J27" i="9" s="1"/>
  <c r="H29" i="9"/>
  <c r="I29" i="9" s="1"/>
  <c r="J29" i="9" s="1"/>
  <c r="H26" i="9"/>
  <c r="H32" i="9"/>
  <c r="I32" i="9" s="1"/>
  <c r="J32" i="9" s="1"/>
  <c r="H30" i="9"/>
  <c r="I30" i="9" s="1"/>
  <c r="J30" i="9" s="1"/>
  <c r="G38" i="4"/>
  <c r="H34" i="9"/>
  <c r="I34" i="9" s="1"/>
  <c r="J34" i="9" s="1"/>
  <c r="K34" i="9"/>
  <c r="Q7" i="1"/>
  <c r="Z39" i="1"/>
  <c r="Z30" i="1" s="1"/>
  <c r="N67" i="9"/>
  <c r="N68" i="9" s="1"/>
  <c r="J55" i="9"/>
  <c r="R31" i="1"/>
  <c r="R30" i="1" s="1"/>
  <c r="Q30" i="1"/>
  <c r="I9" i="9"/>
  <c r="K5" i="9" s="1"/>
  <c r="M62" i="4"/>
  <c r="I25" i="9"/>
  <c r="J25" i="9" s="1"/>
  <c r="H42" i="4"/>
  <c r="H38" i="4" s="1"/>
  <c r="I40" i="9"/>
  <c r="J40" i="9" s="1"/>
  <c r="R16" i="1"/>
  <c r="Q16" i="1"/>
  <c r="Q24" i="1"/>
  <c r="R24" i="1"/>
  <c r="K35" i="9"/>
  <c r="Z16" i="1"/>
  <c r="I48" i="4"/>
  <c r="R21" i="1"/>
  <c r="H48" i="4"/>
  <c r="Y39" i="1"/>
  <c r="Y30" i="1" s="1"/>
  <c r="K41" i="9"/>
  <c r="K46" i="9"/>
  <c r="J45" i="9"/>
  <c r="K47" i="9"/>
  <c r="J39" i="9"/>
  <c r="K44" i="9"/>
  <c r="K37" i="9"/>
  <c r="K49" i="9"/>
  <c r="J49" i="9"/>
  <c r="J38" i="9"/>
  <c r="K38" i="9"/>
  <c r="K42" i="9"/>
  <c r="J42" i="9"/>
  <c r="K43" i="9"/>
  <c r="J43" i="9"/>
  <c r="K48" i="9"/>
  <c r="J48" i="9"/>
  <c r="J36" i="9"/>
  <c r="K36" i="9"/>
  <c r="C10" i="1"/>
  <c r="K22" i="9" l="1"/>
  <c r="K38" i="4"/>
  <c r="O5" i="9"/>
  <c r="I5" i="9"/>
  <c r="Q6" i="1"/>
  <c r="J9" i="9"/>
  <c r="T13" i="5"/>
  <c r="R6" i="1"/>
  <c r="K40" i="9"/>
  <c r="N69" i="9"/>
  <c r="D10" i="1"/>
  <c r="C16" i="1" s="1"/>
  <c r="B10" i="1"/>
  <c r="J5" i="9" l="1"/>
  <c r="N5" i="9"/>
  <c r="Q6" i="5"/>
  <c r="R6" i="5" l="1"/>
  <c r="D31" i="1"/>
  <c r="C39" i="1" l="1"/>
  <c r="H61" i="4"/>
  <c r="B39" i="1" l="1"/>
  <c r="D39" i="1"/>
  <c r="C47" i="1" s="1"/>
  <c r="D50" i="1"/>
  <c r="B50" i="1"/>
  <c r="B47" i="1" l="1"/>
  <c r="D47" i="1"/>
  <c r="C53" i="1"/>
  <c r="D53" i="1" l="1"/>
  <c r="B53" i="1"/>
  <c r="A19" i="4" l="1"/>
  <c r="E26" i="4" l="1"/>
  <c r="G26" i="4" s="1"/>
  <c r="K26" i="4" s="1"/>
  <c r="E27" i="4"/>
  <c r="G27" i="4" s="1"/>
  <c r="K27" i="4" s="1"/>
  <c r="H27" i="4" l="1"/>
  <c r="I27" i="4"/>
  <c r="H26" i="4"/>
  <c r="I26" i="4"/>
  <c r="B16" i="1"/>
  <c r="D16" i="1"/>
  <c r="C21" i="1" s="1"/>
  <c r="B21" i="1" s="1"/>
  <c r="D21" i="1" l="1"/>
  <c r="C24" i="1" s="1"/>
  <c r="A12" i="4" s="1"/>
  <c r="E18" i="4" l="1"/>
  <c r="G18" i="4" s="1"/>
  <c r="K18" i="4" s="1"/>
  <c r="E13" i="4"/>
  <c r="E14" i="4"/>
  <c r="E16" i="4"/>
  <c r="D24" i="1"/>
  <c r="B24" i="1"/>
  <c r="E25" i="4" s="1"/>
  <c r="G25" i="4" s="1"/>
  <c r="K25" i="4" s="1"/>
  <c r="I13" i="4" l="1"/>
  <c r="G13" i="4"/>
  <c r="G16" i="4"/>
  <c r="K16" i="4" s="1"/>
  <c r="I16" i="4"/>
  <c r="G14" i="4"/>
  <c r="K14" i="4" s="1"/>
  <c r="I14" i="4"/>
  <c r="K13" i="4"/>
  <c r="H25" i="4"/>
  <c r="I25" i="4"/>
  <c r="E20" i="4"/>
  <c r="E22" i="4"/>
  <c r="E21" i="4"/>
  <c r="E24" i="4"/>
  <c r="G24" i="4" s="1"/>
  <c r="K24" i="4" s="1"/>
  <c r="E23" i="4"/>
  <c r="E17" i="4"/>
  <c r="E15" i="4"/>
  <c r="H13" i="4"/>
  <c r="I18" i="4"/>
  <c r="H18" i="4"/>
  <c r="H14" i="4" l="1"/>
  <c r="G15" i="4"/>
  <c r="K15" i="4" s="1"/>
  <c r="I15" i="4"/>
  <c r="G17" i="4"/>
  <c r="K17" i="4" s="1"/>
  <c r="I17" i="4"/>
  <c r="G21" i="4"/>
  <c r="K21" i="4" s="1"/>
  <c r="I21" i="4"/>
  <c r="H16" i="4"/>
  <c r="G22" i="4"/>
  <c r="K22" i="4" s="1"/>
  <c r="I22" i="4"/>
  <c r="G23" i="4"/>
  <c r="K23" i="4" s="1"/>
  <c r="I23" i="4"/>
  <c r="G20" i="4"/>
  <c r="I20" i="4"/>
  <c r="H15" i="4"/>
  <c r="I24" i="4"/>
  <c r="H24" i="4"/>
  <c r="H21" i="4"/>
  <c r="H22" i="4" l="1"/>
  <c r="G12" i="4"/>
  <c r="H17" i="4"/>
  <c r="H12" i="4" s="1"/>
  <c r="G19" i="4"/>
  <c r="K19" i="4" s="1"/>
  <c r="H20" i="4"/>
  <c r="H23" i="4"/>
  <c r="K20" i="4"/>
  <c r="I12" i="4"/>
  <c r="I19" i="4"/>
  <c r="I4" i="4" s="1"/>
  <c r="K12" i="4"/>
  <c r="G7" i="4"/>
  <c r="H19" i="4" l="1"/>
  <c r="H4" i="4" s="1"/>
  <c r="G4" i="4"/>
  <c r="K4" i="4" s="1"/>
  <c r="K7" i="4"/>
  <c r="F61" i="4"/>
  <c r="I7" i="4"/>
  <c r="H7" i="4"/>
  <c r="N7" i="9" l="1"/>
  <c r="O7" i="9" s="1"/>
  <c r="L62" i="4"/>
  <c r="N62" i="4" s="1"/>
  <c r="H22" i="9"/>
  <c r="W10" i="1" l="1"/>
  <c r="W6" i="1" s="1"/>
  <c r="I34" i="4"/>
  <c r="H2" i="9"/>
  <c r="X11" i="1"/>
  <c r="Y11" i="1" s="1"/>
  <c r="I26" i="9"/>
  <c r="K34" i="4" l="1"/>
  <c r="I32" i="4"/>
  <c r="K32" i="4" s="1"/>
  <c r="Z10" i="1"/>
  <c r="Z6" i="1" s="1"/>
  <c r="Z55" i="1" s="1"/>
  <c r="X10" i="1"/>
  <c r="X6" i="1" s="1"/>
  <c r="Y10" i="1"/>
  <c r="Y6" i="1" s="1"/>
  <c r="Y55" i="1" s="1"/>
  <c r="G34" i="4"/>
  <c r="G32" i="4" s="1"/>
  <c r="G28" i="4" s="1"/>
  <c r="G59" i="4" s="1"/>
  <c r="I22" i="9"/>
  <c r="J26" i="9"/>
  <c r="X55" i="1" l="1"/>
  <c r="H34" i="4"/>
  <c r="I2" i="9"/>
  <c r="N2" i="9" s="1"/>
  <c r="K2" i="9"/>
  <c r="O2" i="9" s="1"/>
  <c r="J22" i="9"/>
  <c r="J2" i="9" s="1"/>
  <c r="G3" i="4"/>
  <c r="K3" i="4" s="1"/>
  <c r="H32" i="4" l="1"/>
  <c r="H3" i="4" s="1"/>
  <c r="N23" i="9"/>
  <c r="N1" i="9"/>
  <c r="O1" i="9" s="1"/>
  <c r="O3" i="9"/>
  <c r="I28" i="4"/>
  <c r="I59" i="4" s="1"/>
  <c r="I3" i="4"/>
  <c r="K28" i="4"/>
  <c r="H28" i="4" l="1"/>
  <c r="H59" i="4"/>
  <c r="G2" i="4"/>
  <c r="K2" i="4" s="1"/>
  <c r="I2" i="4" l="1"/>
  <c r="L2" i="4" s="1"/>
  <c r="K59" i="4"/>
  <c r="N24" i="9" s="1"/>
  <c r="O24" i="9" s="1"/>
  <c r="H2" i="4"/>
  <c r="G5" i="4"/>
  <c r="L28" i="4" l="1"/>
  <c r="M28" i="4" s="1"/>
  <c r="G6" i="4"/>
  <c r="K6" i="4" s="1"/>
  <c r="K5" i="4"/>
  <c r="I5" i="4"/>
  <c r="I6" i="4" s="1"/>
  <c r="H5" i="4"/>
  <c r="H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boyko</author>
  </authors>
  <commentList>
    <comment ref="B8" authorId="0" shapeId="0" xr:uid="{00000000-0006-0000-0200-000001000000}">
      <text>
        <r>
          <rPr>
            <b/>
            <sz val="8"/>
            <color indexed="81"/>
            <rFont val="Tahoma"/>
            <family val="2"/>
            <charset val="204"/>
          </rPr>
          <t>ввести</t>
        </r>
        <r>
          <rPr>
            <sz val="8"/>
            <color indexed="81"/>
            <rFont val="Tahoma"/>
            <family val="2"/>
            <charset val="204"/>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boyko</author>
  </authors>
  <commentList>
    <comment ref="L17" authorId="0" shapeId="0" xr:uid="{00000000-0006-0000-0300-000001000000}">
      <text>
        <r>
          <rPr>
            <b/>
            <sz val="8"/>
            <color rgb="FF000000"/>
            <rFont val="Tahoma"/>
            <family val="2"/>
            <charset val="204"/>
          </rPr>
          <t>учитывает % от охвата которым будет предоставляется данная услуга</t>
        </r>
      </text>
    </comment>
    <comment ref="L18" authorId="0" shapeId="0" xr:uid="{00000000-0006-0000-0300-000002000000}">
      <text>
        <r>
          <rPr>
            <b/>
            <sz val="8"/>
            <color rgb="FF000000"/>
            <rFont val="Tahoma"/>
            <family val="2"/>
            <charset val="204"/>
          </rPr>
          <t>учитывает % от охвата которым будет предоставляется данная услуга</t>
        </r>
      </text>
    </comment>
    <comment ref="L19" authorId="0" shapeId="0" xr:uid="{00000000-0006-0000-0300-000003000000}">
      <text>
        <r>
          <rPr>
            <b/>
            <sz val="8"/>
            <color rgb="FF000000"/>
            <rFont val="Tahoma"/>
            <family val="2"/>
            <charset val="204"/>
          </rPr>
          <t>учитывает % от охвата которым будет предоставляется данная услуга</t>
        </r>
      </text>
    </comment>
    <comment ref="L20" authorId="0" shapeId="0" xr:uid="{00000000-0006-0000-0300-000004000000}">
      <text>
        <r>
          <rPr>
            <b/>
            <sz val="8"/>
            <color rgb="FF000000"/>
            <rFont val="Tahoma"/>
            <family val="2"/>
            <charset val="204"/>
          </rPr>
          <t>учитывает % от охвата которым будет предоставляется данная услуга</t>
        </r>
      </text>
    </comment>
    <comment ref="L42" authorId="0" shapeId="0" xr:uid="{00000000-0006-0000-0300-000005000000}">
      <text>
        <r>
          <rPr>
            <sz val="8"/>
            <color rgb="FF000000"/>
            <rFont val="Tahoma"/>
            <family val="2"/>
            <charset val="204"/>
          </rPr>
          <t xml:space="preserve">
</t>
        </r>
        <r>
          <rPr>
            <sz val="8"/>
            <color rgb="FF000000"/>
            <rFont val="Tahoma"/>
            <family val="2"/>
            <charset val="204"/>
          </rPr>
          <t>10% от протестированных будут вакцинироваться 3 аза в год</t>
        </r>
      </text>
    </comment>
    <comment ref="L45" authorId="0" shapeId="0" xr:uid="{00000000-0006-0000-0300-000006000000}">
      <text>
        <r>
          <rPr>
            <sz val="8"/>
            <color indexed="81"/>
            <rFont val="Tahoma"/>
            <family val="2"/>
            <charset val="204"/>
          </rPr>
          <t>% от охвата умножить на 12 консультация в год.
Количество нуждающихся в лечении нужно ввести на странице GenAssumptions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boyko</author>
  </authors>
  <commentList>
    <comment ref="L20" authorId="0" shapeId="0" xr:uid="{00000000-0006-0000-0400-000001000000}">
      <text>
        <r>
          <rPr>
            <sz val="8"/>
            <color indexed="81"/>
            <rFont val="Tahoma"/>
            <family val="2"/>
            <charset val="204"/>
          </rPr>
          <t xml:space="preserve">12 мес.* 1200 км на мес./100*20л на 100 км  (включая ожидание и т.д.)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Kushakov</author>
  </authors>
  <commentList>
    <comment ref="E52" authorId="0" shapeId="0" xr:uid="{00000000-0006-0000-0600-000001000000}">
      <text>
        <r>
          <rPr>
            <b/>
            <sz val="9"/>
            <color indexed="81"/>
            <rFont val="Calibri"/>
            <family val="2"/>
          </rPr>
          <t>Kushakov:</t>
        </r>
        <r>
          <rPr>
            <sz val="9"/>
            <color indexed="81"/>
            <rFont val="Calibri"/>
            <family val="2"/>
          </rPr>
          <t xml:space="preserve">
To be verified (share of opiate users including polydrug users among all clients </t>
        </r>
      </text>
    </comment>
    <comment ref="B55" authorId="0" shapeId="0" xr:uid="{00000000-0006-0000-0600-000002000000}">
      <text>
        <r>
          <rPr>
            <b/>
            <sz val="9"/>
            <color indexed="81"/>
            <rFont val="Calibri"/>
            <family val="2"/>
          </rPr>
          <t>Kushakov:</t>
        </r>
        <r>
          <rPr>
            <sz val="9"/>
            <color indexed="81"/>
            <rFont val="Calibri"/>
            <family val="2"/>
          </rPr>
          <t xml:space="preserve">
Need to decide whether we include SMT here or develop a separate template. If here - assumptions should be added, perhaps from the list 'BA_Cov+PSM'. Given that the SMT commodities are procured centrally we probably should not include this here. We should consider psychosocial support of SMT service delivery</t>
        </r>
      </text>
    </comment>
  </commentList>
</comments>
</file>

<file path=xl/sharedStrings.xml><?xml version="1.0" encoding="utf-8"?>
<sst xmlns="http://schemas.openxmlformats.org/spreadsheetml/2006/main" count="650" uniqueCount="366">
  <si>
    <t>Naloxone</t>
  </si>
  <si>
    <t>HBV vaccine</t>
  </si>
  <si>
    <t>Rapid HBV test</t>
  </si>
  <si>
    <t>STI test kits: gonorrhoea</t>
  </si>
  <si>
    <t>STI test kits: chlamidia</t>
  </si>
  <si>
    <t>STI test kits: syphilis</t>
  </si>
  <si>
    <t>Rapid HCV test</t>
  </si>
  <si>
    <t>Lubricants</t>
  </si>
  <si>
    <t>Combo Rapid Tests</t>
  </si>
  <si>
    <t>Рекомендуемые услуги</t>
  </si>
  <si>
    <t>Выработка знаний, навыков и изменение поведения (IEС)</t>
  </si>
  <si>
    <t>Основные услуги (профилактика и лечение ВИЧ)</t>
  </si>
  <si>
    <t>Дополнительные услуги (привлечение и удержание клиента; удовлетворение базовых потребностей)</t>
  </si>
  <si>
    <t>Диагностика, профилактика и лечение туберкулеза (TB)</t>
  </si>
  <si>
    <t>Сохранение репродуктивного здоровья</t>
  </si>
  <si>
    <t>Правовая поддержка</t>
  </si>
  <si>
    <t xml:space="preserve">Общие данные для бюджетирования </t>
  </si>
  <si>
    <t>Должность</t>
  </si>
  <si>
    <t>Курсы валют</t>
  </si>
  <si>
    <t>Социальный работник</t>
  </si>
  <si>
    <t>Валюта бюджетирования</t>
  </si>
  <si>
    <t>Врач</t>
  </si>
  <si>
    <t>Медсестра</t>
  </si>
  <si>
    <t>Кейс-менеджер</t>
  </si>
  <si>
    <t>№</t>
  </si>
  <si>
    <t>Психолог</t>
  </si>
  <si>
    <t>Юрист</t>
  </si>
  <si>
    <t>PROCUREMENT</t>
  </si>
  <si>
    <t>Injecting Instruments and Other Parenteral Prevention Commodities</t>
  </si>
  <si>
    <t>Syringes and needles</t>
  </si>
  <si>
    <t>Share of users</t>
  </si>
  <si>
    <t>Price</t>
  </si>
  <si>
    <t>0.5ml LDS single units with XGY needle</t>
  </si>
  <si>
    <t>1ml LDS single units with XGY needle</t>
  </si>
  <si>
    <t>2ml LDS single units with XGY needle</t>
  </si>
  <si>
    <t>3ml LDS single units with XGY needle</t>
  </si>
  <si>
    <t>1ml LDS syringes</t>
  </si>
  <si>
    <t>2ml LDS syringes</t>
  </si>
  <si>
    <t>XGY LDS needles</t>
  </si>
  <si>
    <t>0.5ml syringes with detachable needle</t>
  </si>
  <si>
    <t>1ml syringe with detachable needle</t>
  </si>
  <si>
    <t>2ml syringe with detachable needle</t>
  </si>
  <si>
    <t>3ml syringe with detachable neelde</t>
  </si>
  <si>
    <t>5ml syringe with detachable needle</t>
  </si>
  <si>
    <t>10ml syringe with detachable needle</t>
  </si>
  <si>
    <t>20ml syringe with detachable needle</t>
  </si>
  <si>
    <t>XGY non-LDS needles</t>
  </si>
  <si>
    <t>Alcohol swabs</t>
  </si>
  <si>
    <t>Injecting water</t>
  </si>
  <si>
    <t>Individual sharps disposal containers</t>
  </si>
  <si>
    <t>Mobile team sharps disposal containers</t>
  </si>
  <si>
    <t>Stationary unit sharps disposal containers</t>
  </si>
  <si>
    <t>Tourniquets</t>
  </si>
  <si>
    <t>Cookers</t>
  </si>
  <si>
    <t>Filters/Cotton balls</t>
  </si>
  <si>
    <t>Lighters</t>
  </si>
  <si>
    <t>Foil</t>
  </si>
  <si>
    <t>Rolling paper</t>
  </si>
  <si>
    <t>Pipe extentions</t>
  </si>
  <si>
    <t>TOTAL PARENTERAL PREVENTION COMMODITIES</t>
  </si>
  <si>
    <t>SUBSTITUTION MAINTENANCE TREATMENT</t>
  </si>
  <si>
    <t>TOTAL SUBSTITUTION MAINTENANCE</t>
  </si>
  <si>
    <t>HIV TESTING</t>
  </si>
  <si>
    <t>TOTAL HIV TESTING</t>
  </si>
  <si>
    <t>STI DIAGNOSTICS AND TREATMENT AND SAFER SEX</t>
  </si>
  <si>
    <t xml:space="preserve">Male condoms </t>
  </si>
  <si>
    <t>Female condoms</t>
  </si>
  <si>
    <t>TOTAL STI AND SAFER SEX</t>
  </si>
  <si>
    <t>EXTRAS</t>
  </si>
  <si>
    <t>BASIC HEALTHCARE</t>
  </si>
  <si>
    <t>Аптечки</t>
  </si>
  <si>
    <t>Бінт</t>
  </si>
  <si>
    <t>Вата</t>
  </si>
  <si>
    <t>ДКТ: Рукавиці латексні</t>
  </si>
  <si>
    <t>ДКТ: спирт</t>
  </si>
  <si>
    <t>ДКТ: стериліум</t>
  </si>
  <si>
    <t>Мазь "Спасатель"</t>
  </si>
  <si>
    <t>Мазь Левомиколь</t>
  </si>
  <si>
    <t>Налоксон</t>
  </si>
  <si>
    <t>Одноразові маски</t>
  </si>
  <si>
    <t>Пластирь бактеріцидний</t>
  </si>
  <si>
    <t xml:space="preserve">Р-р брил.зелен. </t>
  </si>
  <si>
    <t>Рукавиці господарські</t>
  </si>
  <si>
    <t>Хлоргексідін</t>
  </si>
  <si>
    <t>TOTAL EXTRAS</t>
  </si>
  <si>
    <t>Консультация</t>
  </si>
  <si>
    <t>Комментарии</t>
  </si>
  <si>
    <t>Товар</t>
  </si>
  <si>
    <t>EIA HIV</t>
  </si>
  <si>
    <t>STI tests EIA</t>
  </si>
  <si>
    <t>EIA syphilis</t>
  </si>
  <si>
    <t>Лубриканты</t>
  </si>
  <si>
    <t>Спиртовые салфетки</t>
  </si>
  <si>
    <t>Быстрые тесты на гепатит Б</t>
  </si>
  <si>
    <t>Быстрые тесты на гепатит С</t>
  </si>
  <si>
    <t>Быстрые тесты на ВИЧ</t>
  </si>
  <si>
    <t>Тесты на сифилис</t>
  </si>
  <si>
    <t>Тесты на хламидиоз</t>
  </si>
  <si>
    <t>Тесты на гонорею</t>
  </si>
  <si>
    <t>Презервативы</t>
  </si>
  <si>
    <t>Женские презервативы</t>
  </si>
  <si>
    <t>Тесты на беременность</t>
  </si>
  <si>
    <t>Консультирование</t>
  </si>
  <si>
    <t>Y</t>
  </si>
  <si>
    <t>N</t>
  </si>
  <si>
    <t>Товары необходимые для оказания услуги</t>
  </si>
  <si>
    <t>Выдача товаров (Y/N)</t>
  </si>
  <si>
    <t>Гепатит Б вакцинация</t>
  </si>
  <si>
    <t>Транспорт и услуги связи</t>
  </si>
  <si>
    <t>Информационный материал</t>
  </si>
  <si>
    <t>Старший социальный работник</t>
  </si>
  <si>
    <t>Руководитель проекта</t>
  </si>
  <si>
    <t>Среднее количество визитов на 1 клиента в год для получения услуги или % от общего  охвата</t>
  </si>
  <si>
    <t>Годовой курс лечения от Гепатита С</t>
  </si>
  <si>
    <t>Анкета для скрининга на ТБ</t>
  </si>
  <si>
    <t>Материальная помощь</t>
  </si>
  <si>
    <t>Доплаты клиентам за правильные ответы и привлечённых клиентов</t>
  </si>
  <si>
    <t>Управление и поддержка</t>
  </si>
  <si>
    <t>Название</t>
  </si>
  <si>
    <t>ІІ</t>
  </si>
  <si>
    <t>2.2.</t>
  </si>
  <si>
    <t>2.3.</t>
  </si>
  <si>
    <t>2.4.</t>
  </si>
  <si>
    <t>2.5.</t>
  </si>
  <si>
    <t>1.1.</t>
  </si>
  <si>
    <t>1.2.</t>
  </si>
  <si>
    <t>1.3.</t>
  </si>
  <si>
    <t>1.4.</t>
  </si>
  <si>
    <t>1.5.</t>
  </si>
  <si>
    <t>І</t>
  </si>
  <si>
    <t>ІІІ</t>
  </si>
  <si>
    <t>Тренинг и обучение новых сотрудников</t>
  </si>
  <si>
    <t>Комментарий</t>
  </si>
  <si>
    <t>Шприцы и иглы</t>
  </si>
  <si>
    <t>Вода для инъекций</t>
  </si>
  <si>
    <t>Фильтры и инструмент для инъекций</t>
  </si>
  <si>
    <t>Продуктовый паёк или вещевой набор</t>
  </si>
  <si>
    <t>Национальная валюта</t>
  </si>
  <si>
    <t>Предположение о количестве товаров на 1 уникального клиента на год или % от общего  охвата</t>
  </si>
  <si>
    <t>Количество времени (в минутах) на оказания услуги во время 1 визита</t>
  </si>
  <si>
    <t>Стоимость, USD</t>
  </si>
  <si>
    <t>Гепатит Б</t>
  </si>
  <si>
    <t>Гепатит С</t>
  </si>
  <si>
    <t>Количество времени (в минутах) на оказания услуги на год</t>
  </si>
  <si>
    <t>EUR</t>
  </si>
  <si>
    <t>USD</t>
  </si>
  <si>
    <t>Курс USD/EUR</t>
  </si>
  <si>
    <t>Общая информация</t>
  </si>
  <si>
    <t>Проверка документации</t>
  </si>
  <si>
    <t>Проведение рабочих встреч персонала проекта</t>
  </si>
  <si>
    <t>Проверка работы склада</t>
  </si>
  <si>
    <t>Документатор</t>
  </si>
  <si>
    <t>Кладовщик</t>
  </si>
  <si>
    <t>Деятельность</t>
  </si>
  <si>
    <t>Укажите количество для 1 НПО или в целом для страны в зависимости от целей расчёта</t>
  </si>
  <si>
    <t>Водитель</t>
  </si>
  <si>
    <t>S11</t>
  </si>
  <si>
    <t>S12</t>
  </si>
  <si>
    <t>S13</t>
  </si>
  <si>
    <t>S14</t>
  </si>
  <si>
    <t>S15</t>
  </si>
  <si>
    <t>S16</t>
  </si>
  <si>
    <t>S21</t>
  </si>
  <si>
    <t>S22</t>
  </si>
  <si>
    <t>S23</t>
  </si>
  <si>
    <t>S24</t>
  </si>
  <si>
    <t>S25</t>
  </si>
  <si>
    <t>S26</t>
  </si>
  <si>
    <t>S27</t>
  </si>
  <si>
    <t>Тестирование и консультирование</t>
  </si>
  <si>
    <t>услуги</t>
  </si>
  <si>
    <t>Медикаменты для неотложной мед.помощи (аптечка)</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</si>
  <si>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</si>
  <si>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</si>
  <si>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</si>
  <si>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</si>
  <si>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</si>
  <si>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</si>
  <si>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</si>
  <si>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</si>
  <si>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</si>
  <si>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</si>
  <si>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</si>
  <si>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</si>
  <si>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</si>
  <si>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</si>
  <si>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</si>
  <si>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</si>
  <si>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</si>
  <si>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</si>
  <si>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</si>
  <si>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</si>
  <si>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</si>
  <si>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</si>
  <si>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</si>
  <si>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</si>
  <si>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всего</t>
  </si>
  <si>
    <t>Стоимость, EUR</t>
  </si>
  <si>
    <t>Проведение тренинга и обучение новых сотрудников</t>
  </si>
  <si>
    <t>Оценка работы "в поле"</t>
  </si>
  <si>
    <t>Логистика и доставка товаров</t>
  </si>
  <si>
    <t>% от планируемого охвата</t>
  </si>
  <si>
    <t>Персонал и оплата труда</t>
  </si>
  <si>
    <t>Среднее количество</t>
  </si>
  <si>
    <t>Стоимость</t>
  </si>
  <si>
    <t>% от стоимости товаров</t>
  </si>
  <si>
    <t>Товары медицинского и немедицинского назначения</t>
  </si>
  <si>
    <t>Равняется количеству шприцов/ игл</t>
  </si>
  <si>
    <t>Тестирование (скрининг) на Гепатит Б и переадресация в медицинские учреждения</t>
  </si>
  <si>
    <t>Консультация о Гепатите Б</t>
  </si>
  <si>
    <t>Консультация о Гепатите С</t>
  </si>
  <si>
    <t>Тестирование (скрининг) на Гепатит С и переадресация в медицинские учреждения</t>
  </si>
  <si>
    <t xml:space="preserve">Сопровождение клиента во время лечения </t>
  </si>
  <si>
    <t>Наличие деятельности (Y/N)</t>
  </si>
  <si>
    <t>Б.</t>
  </si>
  <si>
    <t>А.</t>
  </si>
  <si>
    <t>Стратегическое управление и координация</t>
  </si>
  <si>
    <t>Стратегическое планирование и бюджетирование вмешательств на национальном уровне</t>
  </si>
  <si>
    <t xml:space="preserve">Психосоциальная поддержка клиента во время лечения </t>
  </si>
  <si>
    <t>ІІI</t>
  </si>
  <si>
    <t>рабочих часов в год</t>
  </si>
  <si>
    <t xml:space="preserve">на весь тренинг, средняя длительность 3 дня </t>
  </si>
  <si>
    <t>Обеспечение работы мобильной амбулатории</t>
  </si>
  <si>
    <t>Детальный расчёт стоимости дополнительных расходов организации для обеспечения качественного предоставления услуг</t>
  </si>
  <si>
    <t>Оплата труда руководящего и административного персонала</t>
  </si>
  <si>
    <t>Бухгалтер</t>
  </si>
  <si>
    <t>Топливо</t>
  </si>
  <si>
    <t>Парковка</t>
  </si>
  <si>
    <t>месяц</t>
  </si>
  <si>
    <t xml:space="preserve">12 мес.* 1200 км на мес./100*20л на 100 км  (включая ожидание и т.д.)                                      </t>
  </si>
  <si>
    <t>литр</t>
  </si>
  <si>
    <t>день</t>
  </si>
  <si>
    <t>Страховка</t>
  </si>
  <si>
    <t>активность</t>
  </si>
  <si>
    <t>Обслуживание и ремонт</t>
  </si>
  <si>
    <t>Персонал необходимый для оказания услуги (выберете из списка)</t>
  </si>
  <si>
    <t>Количество "единиц" на год</t>
  </si>
  <si>
    <t>Описание "единицы"</t>
  </si>
  <si>
    <t>Цена за единицу</t>
  </si>
  <si>
    <t>Мониторинг и оценка эффективности работы</t>
  </si>
  <si>
    <t>на 1 соц. раб.</t>
  </si>
  <si>
    <t xml:space="preserve">на весь тренинг, привлечение на 1 день </t>
  </si>
  <si>
    <t>Содержание офиса</t>
  </si>
  <si>
    <t>Коммунальные расходы</t>
  </si>
  <si>
    <t>Услуги связи (интренет, телефон)</t>
  </si>
  <si>
    <t>Транспротные расходы (в т.ч. для мониторинговых визитов)</t>
  </si>
  <si>
    <t>Инфраструктура и прочее оборудование</t>
  </si>
  <si>
    <t>Банковские услуги</t>
  </si>
  <si>
    <t>Услуги почты и курерской доставки</t>
  </si>
  <si>
    <t>Канцилярские и хозяйственные товары</t>
  </si>
  <si>
    <t>Аренда офиса</t>
  </si>
  <si>
    <t>Расходные материалы к оргтехнике</t>
  </si>
  <si>
    <t>Консультант ДКТ</t>
  </si>
  <si>
    <t>Консультация, скрининг на ТБ</t>
  </si>
  <si>
    <t>Диагностика, сбор мокроты</t>
  </si>
  <si>
    <t>Деятельность, товары и т.д.</t>
  </si>
  <si>
    <t xml:space="preserve">                            </t>
  </si>
  <si>
    <t>Количество ставок на год</t>
  </si>
  <si>
    <t>Общая стоимость,
USD</t>
  </si>
  <si>
    <t>Общая стоимость,
EUR</t>
  </si>
  <si>
    <t>Используется для расчёта стоимости кейс-менеджмента</t>
  </si>
  <si>
    <t>Услуги связи (интернет, телефон)</t>
  </si>
  <si>
    <t>Канцелярские и хозяйственные товары</t>
  </si>
  <si>
    <t>!!!!!Все расходы должны быть указанные исходя из планируемого охвата указанного на странице "GenAssumptions" (Общие данные для бюджетирования )</t>
  </si>
  <si>
    <t>T25</t>
  </si>
  <si>
    <t>S28</t>
  </si>
  <si>
    <r>
      <t xml:space="preserve">Целевой показатель ВОЗ  
</t>
    </r>
    <r>
      <rPr>
        <b/>
        <i/>
        <sz val="10"/>
        <color theme="1"/>
        <rFont val="Arial Narrow"/>
        <family val="2"/>
        <charset val="204"/>
      </rPr>
      <t>50 Низ. - Сред. -  100 Вис.</t>
    </r>
  </si>
  <si>
    <r>
      <t xml:space="preserve">60% от охвата 2 раза в год пройдёт тестирование. 
Целевой показатель ВОЗ  
</t>
    </r>
    <r>
      <rPr>
        <b/>
        <i/>
        <sz val="10"/>
        <color rgb="FF000000"/>
        <rFont val="Arial Narrow"/>
        <family val="2"/>
        <charset val="204"/>
      </rPr>
      <t>40% Низ. - Сред. -  75% Вис.</t>
    </r>
  </si>
  <si>
    <t>Закупка товаров (включая логистику),  дополнительные расходы для поддержки жизни клиента:</t>
  </si>
  <si>
    <t>Человеческие ресурсы (оплата труда):</t>
  </si>
  <si>
    <t>IV</t>
  </si>
  <si>
    <t>4.1.</t>
  </si>
  <si>
    <t>4.1.1</t>
  </si>
  <si>
    <t>4.1.2</t>
  </si>
  <si>
    <t>4.1.3</t>
  </si>
  <si>
    <t>4.1.4</t>
  </si>
  <si>
    <t>4.1.5</t>
  </si>
  <si>
    <t>4.1.6</t>
  </si>
  <si>
    <t>4.1.7</t>
  </si>
  <si>
    <t>4.2</t>
  </si>
  <si>
    <t>4.3</t>
  </si>
  <si>
    <t>4.2.1</t>
  </si>
  <si>
    <t>4.2.2</t>
  </si>
  <si>
    <t>4.2.3</t>
  </si>
  <si>
    <t>4.2.4</t>
  </si>
  <si>
    <t>4.2.5</t>
  </si>
  <si>
    <t>4.3.1</t>
  </si>
  <si>
    <t>4.3.2</t>
  </si>
  <si>
    <t>4.3.3</t>
  </si>
  <si>
    <t>4.3.4</t>
  </si>
  <si>
    <t>4.3.5</t>
  </si>
  <si>
    <t>4.3.6</t>
  </si>
  <si>
    <t>4.3.7</t>
  </si>
  <si>
    <t>4.3.8</t>
  </si>
  <si>
    <t>4.3.9</t>
  </si>
  <si>
    <t>Стоимость оказания профилактических услуг одному уникальному клиенту (включая товары) на протяжении года</t>
  </si>
  <si>
    <t>Оплата труда</t>
  </si>
  <si>
    <t>среднее на 1 клиента в год</t>
  </si>
  <si>
    <t>месяц*% вовлечение</t>
  </si>
  <si>
    <t>Бюджет на оказания профилактических услуг на протяжении года</t>
  </si>
  <si>
    <t>Тестирование на ИППП и консультирование</t>
  </si>
  <si>
    <t>В среднем 12 консультаций в год на 1 клиента проходящего лечение</t>
  </si>
  <si>
    <t>В среднем 2 консультации в год на 1 клиента проходящего лечение</t>
  </si>
  <si>
    <t>Боксы для сбора и транспортировки мокрот, перчатки, повязки и т.д.</t>
  </si>
  <si>
    <t>Детальный расчёт стоимости профилактических услуг на 1 уникального клиента охваченного программой</t>
  </si>
  <si>
    <t>Предоставление услуги (Y/N)</t>
  </si>
  <si>
    <t>включает время на ожидание, регистрацию нового клиента, заполнение документов документов</t>
  </si>
  <si>
    <t>включает время на ожидание, регистрацию, формирование пакета для выдачи, заполнение документов документов</t>
  </si>
  <si>
    <t>Диагностика, профилактика и лечение Гепатитов (Hep)</t>
  </si>
  <si>
    <t>10% от протестированных будут вакцинироваться 3 аза в год</t>
  </si>
  <si>
    <t>Необходимая сумма на профилактику ВИЧ на год на планируемый охват</t>
  </si>
  <si>
    <t>Стоимость услуг на одного охваченного уникального клиента</t>
  </si>
  <si>
    <t>Предоставляемые услуги:</t>
  </si>
  <si>
    <t>Стоимость товаров на одного охваченного уникального клиента</t>
  </si>
  <si>
    <t>Предоставляемые товары, поддержка жизни клиента:</t>
  </si>
  <si>
    <t>Общее количество на планируемый охват</t>
  </si>
  <si>
    <t>Прочие программные и сопутствующие расходы:</t>
  </si>
  <si>
    <t xml:space="preserve">Планируемый охват </t>
  </si>
  <si>
    <t>Оплата труда руководящего и административного персонала, обеспечение работы мобильной амбулатории, содержание пунктов предоставления услуг</t>
  </si>
  <si>
    <t>RUB</t>
  </si>
  <si>
    <t>Менеджер проекта</t>
  </si>
  <si>
    <t>Координаторы мобильных пунктов</t>
  </si>
  <si>
    <t>Специалист по документации</t>
  </si>
  <si>
    <t>Специалист по финансам</t>
  </si>
  <si>
    <t>Антисептик (л.)</t>
  </si>
  <si>
    <t>Гигиенические салфетки (уп.)</t>
  </si>
  <si>
    <t>коммунальные услуги</t>
  </si>
  <si>
    <t>Транспортные расходы (в том числе на мониторинг)</t>
  </si>
  <si>
    <t>Инфраструктура и другое оборудование</t>
  </si>
  <si>
    <t>Банковские сборы</t>
  </si>
  <si>
    <t>Почтовые услуги</t>
  </si>
  <si>
    <t>Расходные материалы для офиса (обслуживание оборудования)</t>
  </si>
  <si>
    <t>Топливо для автомобиля</t>
  </si>
  <si>
    <t>Парковка для машины</t>
  </si>
  <si>
    <t>Страхование автомобиля</t>
  </si>
  <si>
    <t>Техническое обслуживание и ремонт автомобилей</t>
  </si>
  <si>
    <t>Мелкие расходные материалы для тестирования</t>
  </si>
  <si>
    <t>4.3.10</t>
  </si>
  <si>
    <t>4.3.11</t>
  </si>
  <si>
    <t>4.3.12</t>
  </si>
  <si>
    <t>4.3.13</t>
  </si>
  <si>
    <t>4.3.14</t>
  </si>
  <si>
    <t>4.2.6</t>
  </si>
  <si>
    <t>4.2.7</t>
  </si>
  <si>
    <t>Оформление в медицинские учреждения</t>
  </si>
  <si>
    <t>Выдача расходных материалов</t>
  </si>
  <si>
    <t>Консультация, выдача инъекционного инструмента, презервативов</t>
  </si>
  <si>
    <r>
      <t xml:space="preserve">
Целевой показатель ВОЗ  
</t>
    </r>
    <r>
      <rPr>
        <b/>
        <i/>
        <sz val="10"/>
        <color rgb="FF000000"/>
        <rFont val="Arial Narrow"/>
        <family val="2"/>
        <charset val="204"/>
      </rPr>
      <t>40% Низ. - Сред. -  75% Вис.</t>
    </r>
  </si>
  <si>
    <t>Консультации медицинские</t>
  </si>
  <si>
    <t>Тестирование на ВИЧ (HTC) и консультирование</t>
  </si>
  <si>
    <t>Психологическая поддержка</t>
  </si>
  <si>
    <t>Обеспечение доступа и поддержка лечения ВИЧ, социальное сопровождение</t>
  </si>
  <si>
    <t>Восстановление документов</t>
  </si>
  <si>
    <t>Доведение до ЦСПИД</t>
  </si>
  <si>
    <t>Консультации специалистов партнерских организаций</t>
  </si>
  <si>
    <t>2.1.</t>
  </si>
  <si>
    <t>Общая стоимость,
RUB</t>
  </si>
  <si>
    <t>Основные услуги и товары для профилактики ВИЧ</t>
  </si>
  <si>
    <t>Дополнительные услуги  и товары</t>
  </si>
  <si>
    <t>Для основного пакета услуг</t>
  </si>
  <si>
    <t>Для дополнительного пакета услуг</t>
  </si>
  <si>
    <t>Трансгендерные люди</t>
  </si>
  <si>
    <t>ТГ</t>
  </si>
  <si>
    <t>% ВИЧ-положительных, которые нуждаются в АРТ</t>
  </si>
  <si>
    <t>% людей, которые смогут быть охвачены лечением от Гепатита С</t>
  </si>
  <si>
    <t>Профилактика ИППП ( 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</si>
</sst>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44" formatCode="_-* #,##0.00\ &quot;₽&quot;_-;\-* #,##0.00\ &quot;₽&quot;_-;_-* &quot;-&quot;??\ &quot;₽&quot;_-;_-@_-"/>
    <numFmt numFmtId="43" formatCode="_-* #,##0.00_-;\-* #,##0.00_-;_-* &quot;-&quot;??_-;_-@_-"/>
    <numFmt numFmtId="164" formatCode="_-* #,##0.00_₴_-;\-* #,##0.00_₴_-;_-* &quot;-&quot;??_₴_-;_-@_-"/>
    <numFmt numFmtId="165" formatCode="_-* #,##0.00_р_._-;\-* #,##0.00_р_._-;_-* &quot;-&quot;??_р_._-;_-@_-"/>
    <numFmt numFmtId="166" formatCode="0.0%"/>
    <numFmt numFmtId="167" formatCode="0.0"/>
    <numFmt numFmtId="168" formatCode="_(* #,##0.00_);_(* \(#,##0.00\);_(* &quot;-&quot;??_);_(@_)"/>
    <numFmt numFmtId="169" formatCode="_(&quot;$&quot;* #,##0.00_);_(&quot;$&quot;* \(#,##0.00\);_(&quot;$&quot;* &quot;-&quot;??_);_(@_)"/>
    <numFmt numFmtId="170" formatCode="_(* #,##0_);_(* \(#,##0\);_(* &quot;-&quot;??_);_(@_)"/>
    <numFmt numFmtId="171" formatCode="#,##0.00;[Red]#,##0.00"/>
    <numFmt numFmtId="172" formatCode="#,##0;[Red]#,##0"/>
    <numFmt numFmtId="173" formatCode="_ * #,##0.00_ ;_ * \-#,##0.00_ ;_ * &quot;-&quot;??_ ;_ @_ "/>
    <numFmt numFmtId="174" formatCode="_-&quot;$&quot;* #,##0.00_-;\-&quot;$&quot;* #,##0.00_-;_-&quot;$&quot;* &quot;-&quot;??_-;_-@_-"/>
    <numFmt numFmtId="175" formatCode="_-&quot;£&quot;* #,##0.00_-;\-&quot;£&quot;* #,##0.00_-;_-&quot;£&quot;* &quot;-&quot;??_-;_-@_-"/>
    <numFmt numFmtId="176" formatCode="&quot;$&quot;#,##0_);\(&quot;$&quot;#,##0\)"/>
    <numFmt numFmtId="177" formatCode="_-* #,##0.00\ [$€]_-;\-* #,##0.00\ [$€]_-;_-* &quot;-&quot;??\ [$€]_-;_-@_-"/>
    <numFmt numFmtId="178" formatCode="_ [$€-413]\ * #,##0_ ;_ [$€-413]\ * \-#,##0_ ;_ [$€-413]\ * &quot;-&quot;_ ;_ @_ "/>
    <numFmt numFmtId="179" formatCode="&quot;See Note &quot;\ #"/>
    <numFmt numFmtId="180" formatCode="\$\ #,##0"/>
    <numFmt numFmtId="181" formatCode="_-\$* #,##0.00_-;&quot;-$&quot;* #,##0.00_-;_-\$* \-??_-;_-@_-"/>
    <numFmt numFmtId="182" formatCode="_-* #,##0.00\ _г_р_н_._-;\-* #,##0.00\ _г_р_н_._-;_-* &quot;-&quot;??\ _г_р_н_._-;_-@_-"/>
    <numFmt numFmtId="183" formatCode="_(* #,##0.00_);_(* \(#,##0.00\);_(* \-??_);_(@_)"/>
    <numFmt numFmtId="184" formatCode="#,##0.00&quot;    &quot;;\-#,##0.00&quot;    &quot;;&quot; -&quot;#&quot;    &quot;;@\ "/>
    <numFmt numFmtId="185" formatCode="#,##0.00&quot;   &quot;;\-#,##0.00&quot;   &quot;;&quot; -&quot;#&quot;   &quot;;@\ "/>
    <numFmt numFmtId="186" formatCode="_-* #,##0.00_р_._-;\-* #,##0.00_р_._-;_-* \-??_р_._-;_-@_-"/>
    <numFmt numFmtId="187" formatCode="_-* #,##0\ _г_р_н_._-;\-* #,##0\ _г_р_н_._-;_-* &quot;-&quot;\ _г_р_н_._-;_-@_-"/>
    <numFmt numFmtId="188" formatCode="#,##0.00_р_."/>
    <numFmt numFmtId="189" formatCode="_([$$-409]* #,##0.00_);_([$$-409]* \(#,##0.00\);_([$$-409]* &quot;-&quot;??_);_(@_)"/>
    <numFmt numFmtId="190" formatCode="_ * #,##0.00_)_$_ ;_ * \(#,##0.00\)_$_ ;_ * &quot;-&quot;??_)_$_ ;_ @_ "/>
    <numFmt numFmtId="191" formatCode="[$$-C09]#,##0.00"/>
    <numFmt numFmtId="192" formatCode="[$$-C09]#,##0"/>
    <numFmt numFmtId="193" formatCode="[$€-2]\ #,##0.00"/>
    <numFmt numFmtId="194" formatCode="[$€-2]\ #,##0"/>
    <numFmt numFmtId="195" formatCode="_-* #,##0_р_._-;\-* #,##0_р_._-;_-* &quot;-&quot;??_р_._-;_-@_-"/>
    <numFmt numFmtId="196" formatCode="0.000%"/>
    <numFmt numFmtId="197" formatCode="[$$-409]#,##0.00"/>
    <numFmt numFmtId="198" formatCode="[$$-540A]#,##0.00"/>
    <numFmt numFmtId="199" formatCode="[$€-813]\ #,##0.00"/>
    <numFmt numFmtId="200" formatCode="#,##0.00_₴"/>
    <numFmt numFmtId="201" formatCode="0.000"/>
    <numFmt numFmtId="202" formatCode="#,##0.00\ &quot;₽&quot;"/>
  </numFmts>
  <fonts count="184" x14ac:knownFonts="1">
    <font>
      <sz val="11"/>
      <color theme="1"/>
      <name val="Calibri"/>
      <family val="2"/>
      <charset val="204"/>
      <scheme val="minor"/>
    </font>
    <font>
      <sz val="11"/>
      <color theme="1"/>
      <name val="Calibri"/>
      <family val="2"/>
      <charset val="204"/>
      <scheme val="minor"/>
    </font>
    <font>
      <sz val="8"/>
      <name val="Arial"/>
      <family val="2"/>
    </font>
    <font>
      <sz val="8"/>
      <color indexed="12"/>
      <name val="Arial"/>
      <family val="2"/>
    </font>
    <font>
      <b/>
      <i/>
      <sz val="8"/>
      <name val="Arial"/>
      <family val="2"/>
    </font>
    <font>
      <sz val="11"/>
      <color indexed="8"/>
      <name val="Calibri"/>
      <family val="2"/>
    </font>
    <font>
      <sz val="11"/>
      <color indexed="8"/>
      <name val="Calibri"/>
      <family val="2"/>
      <charset val="204"/>
    </font>
    <font>
      <sz val="11"/>
      <color theme="1"/>
      <name val="Calibri"/>
      <family val="2"/>
      <scheme val="minor"/>
    </font>
    <font>
      <sz val="11"/>
      <color indexed="9"/>
      <name val="Calibri"/>
      <family val="2"/>
    </font>
    <font>
      <sz val="11"/>
      <color indexed="9"/>
      <name val="Calibri"/>
      <family val="2"/>
      <charset val="204"/>
    </font>
    <font>
      <sz val="11"/>
      <color indexed="20"/>
      <name val="Calibri"/>
      <family val="2"/>
    </font>
    <font>
      <sz val="11"/>
      <color indexed="20"/>
      <name val="Calibri"/>
      <family val="2"/>
      <charset val="204"/>
    </font>
    <font>
      <b/>
      <sz val="11"/>
      <color indexed="52"/>
      <name val="Calibri"/>
      <family val="2"/>
    </font>
    <font>
      <b/>
      <sz val="11"/>
      <color indexed="52"/>
      <name val="Calibri"/>
      <family val="2"/>
      <charset val="204"/>
    </font>
    <font>
      <b/>
      <sz val="11"/>
      <color indexed="9"/>
      <name val="Calibri"/>
      <family val="2"/>
    </font>
    <font>
      <b/>
      <sz val="11"/>
      <color indexed="9"/>
      <name val="Calibri"/>
      <family val="2"/>
      <charset val="204"/>
    </font>
    <font>
      <sz val="10"/>
      <name val="Arial"/>
      <family val="2"/>
      <charset val="204"/>
    </font>
    <font>
      <sz val="10"/>
      <name val="Arial"/>
      <family val="2"/>
    </font>
    <font>
      <sz val="8"/>
      <name val="Arial"/>
      <family val="2"/>
      <charset val="204"/>
    </font>
    <font>
      <sz val="10"/>
      <name val="Times New Roman"/>
      <family val="1"/>
    </font>
    <font>
      <sz val="10"/>
      <name val="Arial Cyr"/>
    </font>
    <font>
      <b/>
      <sz val="10"/>
      <name val="Arial"/>
      <family val="2"/>
    </font>
    <font>
      <sz val="10"/>
      <name val="Arial Cyr"/>
      <family val="2"/>
      <charset val="204"/>
    </font>
    <font>
      <i/>
      <sz val="11"/>
      <color indexed="23"/>
      <name val="Calibri"/>
      <family val="2"/>
    </font>
    <font>
      <i/>
      <sz val="11"/>
      <color indexed="23"/>
      <name val="Calibri"/>
      <family val="2"/>
      <charset val="204"/>
    </font>
    <font>
      <sz val="11"/>
      <color indexed="17"/>
      <name val="Calibri"/>
      <family val="2"/>
    </font>
    <font>
      <sz val="11"/>
      <color indexed="17"/>
      <name val="Calibri"/>
      <family val="2"/>
      <charset val="204"/>
    </font>
    <font>
      <b/>
      <sz val="15"/>
      <color indexed="56"/>
      <name val="Calibri"/>
      <family val="2"/>
    </font>
    <font>
      <b/>
      <sz val="15"/>
      <color indexed="62"/>
      <name val="Calibri"/>
      <family val="2"/>
    </font>
    <font>
      <b/>
      <sz val="15"/>
      <color indexed="56"/>
      <name val="Calibri"/>
      <family val="2"/>
      <charset val="204"/>
    </font>
    <font>
      <b/>
      <sz val="13"/>
      <color indexed="56"/>
      <name val="Calibri"/>
      <family val="2"/>
    </font>
    <font>
      <b/>
      <sz val="13"/>
      <color indexed="62"/>
      <name val="Calibri"/>
      <family val="2"/>
    </font>
    <font>
      <b/>
      <sz val="13"/>
      <color indexed="56"/>
      <name val="Calibri"/>
      <family val="2"/>
      <charset val="204"/>
    </font>
    <font>
      <b/>
      <sz val="11"/>
      <color indexed="56"/>
      <name val="Calibri"/>
      <family val="2"/>
    </font>
    <font>
      <b/>
      <sz val="11"/>
      <color indexed="62"/>
      <name val="Calibri"/>
      <family val="2"/>
    </font>
    <font>
      <b/>
      <sz val="11"/>
      <color indexed="56"/>
      <name val="Calibri"/>
      <family val="2"/>
      <charset val="204"/>
    </font>
    <font>
      <b/>
      <sz val="10"/>
      <name val="Times New Roman"/>
      <family val="1"/>
      <charset val="204"/>
    </font>
    <font>
      <b/>
      <sz val="9.75"/>
      <name val="Arial"/>
      <family val="2"/>
      <charset val="204"/>
    </font>
    <font>
      <u/>
      <sz val="10"/>
      <color indexed="12"/>
      <name val="Arial"/>
      <family val="2"/>
    </font>
    <font>
      <u/>
      <sz val="11"/>
      <color theme="10"/>
      <name val="Calibri"/>
      <family val="2"/>
      <charset val="204"/>
    </font>
    <font>
      <u/>
      <sz val="10"/>
      <color indexed="12"/>
      <name val="Arial"/>
      <family val="2"/>
      <charset val="204"/>
    </font>
    <font>
      <sz val="11"/>
      <color indexed="62"/>
      <name val="Calibri"/>
      <family val="2"/>
    </font>
    <font>
      <sz val="11"/>
      <color indexed="62"/>
      <name val="Calibri"/>
      <family val="2"/>
      <charset val="204"/>
    </font>
    <font>
      <sz val="11"/>
      <color indexed="52"/>
      <name val="Calibri"/>
      <family val="2"/>
    </font>
    <font>
      <sz val="11"/>
      <color indexed="52"/>
      <name val="Calibri"/>
      <family val="2"/>
      <charset val="204"/>
    </font>
    <font>
      <sz val="11"/>
      <color indexed="60"/>
      <name val="Calibri"/>
      <family val="2"/>
    </font>
    <font>
      <sz val="11"/>
      <color indexed="60"/>
      <name val="Calibri"/>
      <family val="2"/>
      <charset val="204"/>
    </font>
    <font>
      <sz val="11"/>
      <color indexed="8"/>
      <name val="Arial"/>
      <family val="2"/>
    </font>
    <font>
      <sz val="10"/>
      <name val="Times New Roman"/>
      <family val="1"/>
      <charset val="204"/>
    </font>
    <font>
      <sz val="8"/>
      <name val="Helv"/>
      <charset val="204"/>
    </font>
    <font>
      <b/>
      <i/>
      <sz val="10"/>
      <name val="Arial"/>
      <family val="2"/>
    </font>
    <font>
      <b/>
      <sz val="11"/>
      <color indexed="63"/>
      <name val="Calibri"/>
      <family val="2"/>
    </font>
    <font>
      <b/>
      <sz val="11"/>
      <color indexed="63"/>
      <name val="Calibri"/>
      <family val="2"/>
      <charset val="204"/>
    </font>
    <font>
      <sz val="10"/>
      <name val="Arial Cyr"/>
      <charset val="204"/>
    </font>
    <font>
      <sz val="8"/>
      <name val="Times New Roman"/>
      <family val="1"/>
      <charset val="204"/>
    </font>
    <font>
      <sz val="11"/>
      <color rgb="FF000000"/>
      <name val="Calibri"/>
      <family val="2"/>
      <charset val="204"/>
    </font>
    <font>
      <b/>
      <sz val="18"/>
      <color indexed="56"/>
      <name val="Cambria"/>
      <family val="2"/>
    </font>
    <font>
      <b/>
      <sz val="18"/>
      <color indexed="62"/>
      <name val="Cambria"/>
      <family val="2"/>
    </font>
    <font>
      <b/>
      <sz val="18"/>
      <color indexed="56"/>
      <name val="Cambria"/>
      <family val="2"/>
      <charset val="204"/>
    </font>
    <font>
      <b/>
      <sz val="11"/>
      <color indexed="8"/>
      <name val="Calibri"/>
      <family val="2"/>
    </font>
    <font>
      <b/>
      <sz val="11"/>
      <color indexed="8"/>
      <name val="Calibri"/>
      <family val="2"/>
      <charset val="204"/>
    </font>
    <font>
      <sz val="11"/>
      <color indexed="10"/>
      <name val="Calibri"/>
      <family val="2"/>
    </font>
    <font>
      <sz val="11"/>
      <color indexed="10"/>
      <name val="Calibri"/>
      <family val="2"/>
      <charset val="204"/>
    </font>
    <font>
      <u/>
      <sz val="10"/>
      <color indexed="12"/>
      <name val="Arial Cyr"/>
    </font>
    <font>
      <u/>
      <sz val="8"/>
      <color theme="10"/>
      <name val="Arial"/>
      <family val="2"/>
    </font>
    <font>
      <u/>
      <sz val="9.9"/>
      <color theme="10"/>
      <name val="Calibri"/>
      <family val="2"/>
      <charset val="204"/>
    </font>
    <font>
      <sz val="11"/>
      <color theme="1"/>
      <name val="Arial"/>
      <family val="2"/>
    </font>
    <font>
      <sz val="8"/>
      <name val="Arial Narrow"/>
      <family val="2"/>
      <charset val="204"/>
    </font>
    <font>
      <sz val="8"/>
      <color theme="1"/>
      <name val="Calibri"/>
      <family val="2"/>
      <charset val="204"/>
      <scheme val="minor"/>
    </font>
    <font>
      <sz val="10"/>
      <name val="Verdana"/>
      <family val="2"/>
      <charset val="204"/>
    </font>
    <font>
      <sz val="11"/>
      <color theme="1"/>
      <name val="Calibri"/>
      <family val="2"/>
      <charset val="204"/>
    </font>
    <font>
      <sz val="11"/>
      <color indexed="14"/>
      <name val="Calibri"/>
      <family val="2"/>
    </font>
    <font>
      <b/>
      <sz val="10"/>
      <color rgb="FF000000"/>
      <name val="Cambria"/>
      <family val="1"/>
      <charset val="204"/>
    </font>
    <font>
      <sz val="10"/>
      <color rgb="FF000000"/>
      <name val="Cambria"/>
      <family val="1"/>
      <charset val="204"/>
    </font>
    <font>
      <b/>
      <sz val="11"/>
      <color theme="1"/>
      <name val="Calibri"/>
      <family val="2"/>
      <charset val="204"/>
      <scheme val="minor"/>
    </font>
    <font>
      <sz val="11"/>
      <color rgb="FF000000"/>
      <name val="Calibri"/>
      <family val="2"/>
      <scheme val="minor"/>
    </font>
    <font>
      <b/>
      <sz val="9"/>
      <color indexed="81"/>
      <name val="Calibri"/>
      <family val="2"/>
    </font>
    <font>
      <sz val="9"/>
      <color indexed="81"/>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charset val="1"/>
      <scheme val="minor"/>
    </font>
    <font>
      <b/>
      <sz val="11"/>
      <color rgb="FF3F3F3F"/>
      <name val="Calibri"/>
      <family val="2"/>
      <scheme val="minor"/>
    </font>
    <font>
      <sz val="10"/>
      <name val="Helv"/>
    </font>
    <font>
      <b/>
      <sz val="18"/>
      <color theme="3"/>
      <name val="Cambria"/>
      <family val="2"/>
      <scheme val="major"/>
    </font>
    <font>
      <b/>
      <sz val="11"/>
      <color theme="1"/>
      <name val="Calibri"/>
      <family val="2"/>
      <scheme val="minor"/>
    </font>
    <font>
      <sz val="11"/>
      <color rgb="FFFF0000"/>
      <name val="Calibri"/>
      <family val="2"/>
      <scheme val="minor"/>
    </font>
    <font>
      <sz val="12"/>
      <color theme="1"/>
      <name val="Calibri"/>
      <family val="2"/>
      <scheme val="minor"/>
    </font>
    <font>
      <sz val="8"/>
      <color indexed="81"/>
      <name val="Tahoma"/>
      <family val="2"/>
      <charset val="204"/>
    </font>
    <font>
      <b/>
      <sz val="8"/>
      <color indexed="81"/>
      <name val="Tahoma"/>
      <family val="2"/>
      <charset val="204"/>
    </font>
    <font>
      <b/>
      <i/>
      <sz val="10"/>
      <color rgb="FF000000"/>
      <name val="Cambria"/>
      <family val="1"/>
      <charset val="204"/>
    </font>
    <font>
      <i/>
      <sz val="10"/>
      <color rgb="FF000000"/>
      <name val="Cambria"/>
      <family val="1"/>
      <charset val="204"/>
    </font>
    <font>
      <b/>
      <sz val="12"/>
      <color rgb="FF000000"/>
      <name val="Cambria"/>
      <family val="1"/>
      <charset val="204"/>
    </font>
    <font>
      <b/>
      <i/>
      <sz val="12"/>
      <color rgb="FF000000"/>
      <name val="Cambria"/>
      <family val="1"/>
      <charset val="204"/>
    </font>
    <font>
      <sz val="10"/>
      <color theme="1"/>
      <name val="Cambria"/>
      <family val="1"/>
      <charset val="204"/>
    </font>
    <font>
      <i/>
      <sz val="10"/>
      <color theme="1"/>
      <name val="Cambria"/>
      <family val="1"/>
      <charset val="204"/>
    </font>
    <font>
      <sz val="11"/>
      <color theme="1"/>
      <name val="Cambria"/>
      <family val="1"/>
      <charset val="204"/>
    </font>
    <font>
      <i/>
      <sz val="11"/>
      <color theme="1"/>
      <name val="Cambria"/>
      <family val="1"/>
      <charset val="204"/>
    </font>
    <font>
      <b/>
      <sz val="12"/>
      <color theme="1"/>
      <name val="Cambria"/>
      <family val="1"/>
      <charset val="204"/>
    </font>
    <font>
      <b/>
      <sz val="10"/>
      <color theme="0"/>
      <name val="Cambria"/>
      <family val="1"/>
      <charset val="204"/>
    </font>
    <font>
      <b/>
      <i/>
      <sz val="10"/>
      <color theme="0"/>
      <name val="Cambria"/>
      <family val="1"/>
      <charset val="204"/>
    </font>
    <font>
      <sz val="11"/>
      <color theme="8" tint="0.59999389629810485"/>
      <name val="Calibri"/>
      <family val="2"/>
      <charset val="204"/>
      <scheme val="minor"/>
    </font>
    <font>
      <sz val="16"/>
      <color theme="8" tint="0.59999389629810485"/>
      <name val="Calibri"/>
      <family val="2"/>
      <charset val="204"/>
      <scheme val="minor"/>
    </font>
    <font>
      <sz val="16"/>
      <color theme="1"/>
      <name val="Calibri"/>
      <family val="2"/>
      <charset val="204"/>
      <scheme val="minor"/>
    </font>
    <font>
      <sz val="20"/>
      <color theme="8" tint="0.59999389629810485"/>
      <name val="Calibri"/>
      <family val="2"/>
      <charset val="204"/>
      <scheme val="minor"/>
    </font>
    <font>
      <sz val="20"/>
      <color theme="1"/>
      <name val="Calibri"/>
      <family val="2"/>
      <charset val="204"/>
      <scheme val="minor"/>
    </font>
    <font>
      <b/>
      <sz val="20"/>
      <color rgb="FFFFFF00"/>
      <name val="Calibri"/>
      <family val="2"/>
      <charset val="204"/>
      <scheme val="minor"/>
    </font>
    <font>
      <sz val="11"/>
      <color rgb="FFFFFF00"/>
      <name val="Cambria"/>
      <family val="1"/>
      <charset val="204"/>
    </font>
    <font>
      <b/>
      <sz val="11"/>
      <color theme="0"/>
      <name val="Cambria"/>
      <family val="1"/>
      <charset val="204"/>
    </font>
    <font>
      <sz val="11"/>
      <color rgb="FFFF0000"/>
      <name val="Calibri"/>
      <family val="2"/>
      <charset val="204"/>
      <scheme val="minor"/>
    </font>
    <font>
      <sz val="11"/>
      <color theme="8" tint="0.59999389629810485"/>
      <name val="Arial Narrow"/>
      <family val="2"/>
      <charset val="204"/>
    </font>
    <font>
      <sz val="11"/>
      <color theme="1"/>
      <name val="Arial Narrow"/>
      <family val="2"/>
      <charset val="204"/>
    </font>
    <font>
      <b/>
      <i/>
      <sz val="11"/>
      <color theme="1"/>
      <name val="Arial Narrow"/>
      <family val="2"/>
      <charset val="204"/>
    </font>
    <font>
      <sz val="20"/>
      <color theme="8" tint="0.59999389629810485"/>
      <name val="Arial Narrow"/>
      <family val="2"/>
      <charset val="204"/>
    </font>
    <font>
      <b/>
      <sz val="20"/>
      <color theme="0"/>
      <name val="Arial Narrow"/>
      <family val="2"/>
      <charset val="204"/>
    </font>
    <font>
      <sz val="20"/>
      <color theme="0"/>
      <name val="Arial Narrow"/>
      <family val="2"/>
      <charset val="204"/>
    </font>
    <font>
      <b/>
      <sz val="16"/>
      <color theme="1"/>
      <name val="Arial Narrow"/>
      <family val="2"/>
      <charset val="204"/>
    </font>
    <font>
      <sz val="16"/>
      <color theme="1"/>
      <name val="Arial Narrow"/>
      <family val="2"/>
      <charset val="204"/>
    </font>
    <font>
      <b/>
      <sz val="20"/>
      <color theme="1"/>
      <name val="Arial Narrow"/>
      <family val="2"/>
      <charset val="204"/>
    </font>
    <font>
      <b/>
      <sz val="12"/>
      <color rgb="FF000000"/>
      <name val="Arial Narrow"/>
      <family val="2"/>
      <charset val="204"/>
    </font>
    <font>
      <b/>
      <i/>
      <sz val="12"/>
      <color rgb="FF000000"/>
      <name val="Arial Narrow"/>
      <family val="2"/>
      <charset val="204"/>
    </font>
    <font>
      <b/>
      <sz val="18"/>
      <color theme="1"/>
      <name val="Arial Narrow"/>
      <family val="2"/>
      <charset val="204"/>
    </font>
    <font>
      <sz val="16"/>
      <color theme="0"/>
      <name val="Arial Narrow"/>
      <family val="2"/>
      <charset val="204"/>
    </font>
    <font>
      <b/>
      <i/>
      <sz val="11"/>
      <color theme="0" tint="-0.499984740745262"/>
      <name val="Arial Narrow"/>
      <family val="2"/>
      <charset val="204"/>
    </font>
    <font>
      <i/>
      <sz val="11"/>
      <color theme="1"/>
      <name val="Arial Narrow"/>
      <family val="2"/>
      <charset val="204"/>
    </font>
    <font>
      <sz val="12"/>
      <color theme="1"/>
      <name val="Arial Narrow"/>
      <family val="2"/>
      <charset val="204"/>
    </font>
    <font>
      <sz val="11"/>
      <name val="Arial Narrow"/>
      <family val="2"/>
      <charset val="204"/>
    </font>
    <font>
      <b/>
      <i/>
      <sz val="11"/>
      <color theme="0" tint="-0.34998626667073579"/>
      <name val="Arial Narrow"/>
      <family val="2"/>
      <charset val="204"/>
    </font>
    <font>
      <b/>
      <sz val="18"/>
      <color theme="0"/>
      <name val="Arial Narrow"/>
      <family val="2"/>
      <charset val="204"/>
    </font>
    <font>
      <sz val="20"/>
      <color theme="1"/>
      <name val="Arial Narrow"/>
      <family val="2"/>
      <charset val="204"/>
    </font>
    <font>
      <sz val="16"/>
      <color theme="8" tint="0.59999389629810485"/>
      <name val="Arial Narrow"/>
      <family val="2"/>
      <charset val="204"/>
    </font>
    <font>
      <sz val="12"/>
      <name val="Arial Narrow"/>
      <family val="2"/>
      <charset val="204"/>
    </font>
    <font>
      <b/>
      <sz val="11"/>
      <color theme="0"/>
      <name val="Arial Narrow"/>
      <family val="2"/>
      <charset val="204"/>
    </font>
    <font>
      <sz val="11"/>
      <color theme="0"/>
      <name val="Arial Narrow"/>
      <family val="2"/>
      <charset val="204"/>
    </font>
    <font>
      <b/>
      <sz val="11"/>
      <name val="Arial Narrow"/>
      <family val="2"/>
      <charset val="204"/>
    </font>
    <font>
      <b/>
      <sz val="11"/>
      <color theme="1"/>
      <name val="Arial Narrow"/>
      <family val="2"/>
      <charset val="204"/>
    </font>
    <font>
      <i/>
      <sz val="10"/>
      <color theme="1"/>
      <name val="Arial Narrow"/>
      <family val="2"/>
      <charset val="204"/>
    </font>
    <font>
      <sz val="11"/>
      <color rgb="FFFFFF00"/>
      <name val="Arial Narrow"/>
      <family val="2"/>
      <charset val="204"/>
    </font>
    <font>
      <sz val="10"/>
      <color theme="1"/>
      <name val="Arial Narrow"/>
      <family val="2"/>
      <charset val="204"/>
    </font>
    <font>
      <b/>
      <sz val="10"/>
      <color rgb="FF000000"/>
      <name val="Arial Narrow"/>
      <family val="2"/>
      <charset val="204"/>
    </font>
    <font>
      <b/>
      <sz val="10"/>
      <color theme="0"/>
      <name val="Arial Narrow"/>
      <family val="2"/>
      <charset val="204"/>
    </font>
    <font>
      <b/>
      <i/>
      <sz val="10"/>
      <color theme="0"/>
      <name val="Arial Narrow"/>
      <family val="2"/>
      <charset val="204"/>
    </font>
    <font>
      <b/>
      <sz val="12"/>
      <color theme="1"/>
      <name val="Arial Narrow"/>
      <family val="2"/>
      <charset val="204"/>
    </font>
    <font>
      <b/>
      <i/>
      <sz val="10"/>
      <color theme="1"/>
      <name val="Arial Narrow"/>
      <family val="2"/>
      <charset val="204"/>
    </font>
    <font>
      <sz val="10"/>
      <color rgb="FF000000"/>
      <name val="Arial Narrow"/>
      <family val="2"/>
      <charset val="204"/>
    </font>
    <font>
      <b/>
      <i/>
      <sz val="10"/>
      <color rgb="FF000000"/>
      <name val="Arial Narrow"/>
      <family val="2"/>
      <charset val="204"/>
    </font>
    <font>
      <i/>
      <sz val="10"/>
      <color rgb="FF000000"/>
      <name val="Arial Narrow"/>
      <family val="2"/>
      <charset val="204"/>
    </font>
    <font>
      <sz val="11"/>
      <color rgb="FFFF0000"/>
      <name val="Arial Narrow"/>
      <family val="2"/>
      <charset val="204"/>
    </font>
    <font>
      <i/>
      <sz val="10"/>
      <name val="Arial Narrow"/>
      <family val="2"/>
      <charset val="204"/>
    </font>
    <font>
      <sz val="10"/>
      <name val="Arial Narrow"/>
      <family val="2"/>
      <charset val="204"/>
    </font>
    <font>
      <i/>
      <sz val="10"/>
      <color rgb="FFFF0000"/>
      <name val="Arial Narrow"/>
      <family val="2"/>
      <charset val="204"/>
    </font>
    <font>
      <sz val="10"/>
      <color rgb="FFFF0000"/>
      <name val="Arial Narrow"/>
      <family val="2"/>
      <charset val="204"/>
    </font>
    <font>
      <b/>
      <sz val="12"/>
      <color theme="0"/>
      <name val="Arial Narrow"/>
      <family val="2"/>
      <charset val="204"/>
    </font>
    <font>
      <b/>
      <i/>
      <sz val="12"/>
      <color theme="0"/>
      <name val="Arial Narrow"/>
      <family val="2"/>
      <charset val="204"/>
    </font>
    <font>
      <b/>
      <sz val="14"/>
      <color theme="0"/>
      <name val="Arial Narrow"/>
      <family val="2"/>
      <charset val="204"/>
    </font>
    <font>
      <b/>
      <i/>
      <sz val="14"/>
      <color theme="0"/>
      <name val="Arial Narrow"/>
      <family val="2"/>
      <charset val="204"/>
    </font>
    <font>
      <b/>
      <sz val="18"/>
      <color theme="0"/>
      <name val="Arial Narrow"/>
      <family val="2"/>
      <charset val="204"/>
    </font>
    <font>
      <sz val="10"/>
      <color theme="1"/>
      <name val="Arial Narrow"/>
      <family val="2"/>
      <charset val="204"/>
    </font>
    <font>
      <b/>
      <sz val="16"/>
      <color theme="1"/>
      <name val="Arial Narrow"/>
      <family val="2"/>
      <charset val="204"/>
    </font>
    <font>
      <sz val="11"/>
      <color theme="1"/>
      <name val="Arial Narrow"/>
      <family val="2"/>
      <charset val="204"/>
    </font>
    <font>
      <b/>
      <sz val="14"/>
      <color theme="0"/>
      <name val="Arial Narrow"/>
      <family val="2"/>
      <charset val="204"/>
    </font>
    <font>
      <sz val="10"/>
      <color rgb="FF000000"/>
      <name val="Arial Narrow"/>
      <family val="2"/>
      <charset val="204"/>
    </font>
    <font>
      <b/>
      <sz val="20"/>
      <color theme="0"/>
      <name val="Arial Narrow"/>
      <family val="2"/>
      <charset val="204"/>
    </font>
    <font>
      <sz val="11"/>
      <color rgb="FF0070C0"/>
      <name val="Arial Narrow"/>
      <family val="2"/>
      <charset val="204"/>
    </font>
    <font>
      <sz val="11"/>
      <color theme="0" tint="-0.14999847407452621"/>
      <name val="Arial Narrow"/>
      <family val="2"/>
      <charset val="204"/>
    </font>
    <font>
      <b/>
      <sz val="14"/>
      <color theme="1"/>
      <name val="Arial Narrow"/>
      <family val="2"/>
      <charset val="204"/>
    </font>
    <font>
      <sz val="8"/>
      <name val="Calibri"/>
      <family val="2"/>
      <charset val="204"/>
      <scheme val="minor"/>
    </font>
    <font>
      <b/>
      <sz val="8"/>
      <color rgb="FF000000"/>
      <name val="Tahoma"/>
      <family val="2"/>
      <charset val="204"/>
    </font>
    <font>
      <sz val="8"/>
      <color rgb="FF000000"/>
      <name val="Tahoma"/>
      <family val="2"/>
      <charset val="204"/>
    </font>
    <font>
      <sz val="12"/>
      <color rgb="FF002060"/>
      <name val="Arial Narrow"/>
      <family val="2"/>
      <charset val="204"/>
    </font>
    <font>
      <b/>
      <sz val="16"/>
      <color theme="0"/>
      <name val="Arial Narrow"/>
      <family val="2"/>
      <charset val="204"/>
    </font>
    <font>
      <sz val="14"/>
      <color theme="0"/>
      <name val="Arial Narrow"/>
      <family val="2"/>
      <charset val="204"/>
    </font>
    <font>
      <sz val="10"/>
      <color theme="1"/>
      <name val="Calibri"/>
      <family val="2"/>
      <charset val="204"/>
      <scheme val="minor"/>
    </font>
    <font>
      <sz val="10"/>
      <color theme="0"/>
      <name val="Arial Narrow"/>
      <family val="2"/>
      <charset val="204"/>
    </font>
    <font>
      <i/>
      <sz val="10"/>
      <color theme="0"/>
      <name val="Arial Narrow"/>
      <family val="2"/>
      <charset val="204"/>
    </font>
  </fonts>
  <fills count="75">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indexed="31"/>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19"/>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rgb="FFFFFFCC"/>
        <bgColor indexed="64"/>
      </patternFill>
    </fill>
    <fill>
      <patternFill patternType="solid">
        <fgColor theme="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rgb="FF123277"/>
        <bgColor indexed="64"/>
      </patternFill>
    </fill>
    <fill>
      <patternFill patternType="solid">
        <fgColor rgb="FF9AB0CF"/>
        <bgColor indexed="64"/>
      </patternFill>
    </fill>
    <fill>
      <patternFill patternType="solid">
        <fgColor rgb="FFC9D6E5"/>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FFFF66"/>
        <bgColor indexed="64"/>
      </patternFill>
    </fill>
    <fill>
      <patternFill patternType="solid">
        <fgColor theme="4" tint="0.39997558519241921"/>
        <bgColor indexed="64"/>
      </patternFill>
    </fill>
    <fill>
      <patternFill patternType="solid">
        <fgColor theme="4" tint="0.59999389629810485"/>
        <bgColor indexed="64"/>
      </patternFill>
    </fill>
  </fills>
  <borders count="47">
    <border>
      <left/>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top/>
      <bottom/>
      <diagonal/>
    </border>
    <border>
      <left style="hair">
        <color auto="1"/>
      </left>
      <right style="hair">
        <color auto="1"/>
      </right>
      <top/>
      <bottom/>
      <diagonal/>
    </border>
    <border>
      <left/>
      <right/>
      <top style="thin">
        <color auto="1"/>
      </top>
      <bottom style="thin">
        <color auto="1"/>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hair">
        <color auto="1"/>
      </left>
      <right style="hair">
        <color auto="1"/>
      </right>
      <top/>
      <bottom style="medium">
        <color indexed="64"/>
      </bottom>
      <diagonal/>
    </border>
    <border>
      <left style="hair">
        <color auto="1"/>
      </left>
      <right style="hair">
        <color auto="1"/>
      </right>
      <top style="medium">
        <color indexed="64"/>
      </top>
      <bottom/>
      <diagonal/>
    </border>
    <border>
      <left style="thin">
        <color auto="1"/>
      </left>
      <right/>
      <top style="medium">
        <color indexed="64"/>
      </top>
      <bottom/>
      <diagonal/>
    </border>
    <border>
      <left style="hair">
        <color auto="1"/>
      </left>
      <right style="medium">
        <color indexed="64"/>
      </right>
      <top style="medium">
        <color indexed="64"/>
      </top>
      <bottom/>
      <diagonal/>
    </border>
    <border>
      <left style="hair">
        <color auto="1"/>
      </left>
      <right style="medium">
        <color indexed="64"/>
      </right>
      <top/>
      <bottom/>
      <diagonal/>
    </border>
    <border>
      <left style="thin">
        <color auto="1"/>
      </left>
      <right/>
      <top/>
      <bottom style="medium">
        <color indexed="64"/>
      </bottom>
      <diagonal/>
    </border>
    <border>
      <left style="hair">
        <color auto="1"/>
      </left>
      <right style="medium">
        <color indexed="64"/>
      </right>
      <top/>
      <bottom style="medium">
        <color indexed="64"/>
      </bottom>
      <diagonal/>
    </border>
  </borders>
  <cellStyleXfs count="8148">
    <xf numFmtId="0" fontId="0" fillId="0" borderId="0"/>
    <xf numFmtId="3" fontId="2" fillId="5" borderId="0">
      <alignment horizontal="center"/>
    </xf>
    <xf numFmtId="9" fontId="2" fillId="5" borderId="0">
      <alignment horizontal="center"/>
    </xf>
    <xf numFmtId="3" fontId="3" fillId="0" borderId="0">
      <alignment horizontal="center" vertical="center"/>
      <protection locked="0"/>
    </xf>
    <xf numFmtId="166" fontId="3" fillId="0" borderId="0">
      <alignment horizontal="center" vertical="center"/>
      <protection locked="0"/>
    </xf>
    <xf numFmtId="49" fontId="4" fillId="0" borderId="0">
      <alignment horizontal="left"/>
    </xf>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0" borderId="0" applyNumberFormat="0" applyBorder="0" applyAlignment="0" applyProtection="0"/>
    <xf numFmtId="0" fontId="8" fillId="20" borderId="0" applyNumberFormat="0" applyBorder="0" applyAlignment="0" applyProtection="0"/>
    <xf numFmtId="0" fontId="9" fillId="2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6" borderId="0" applyNumberFormat="0" applyBorder="0" applyAlignment="0" applyProtection="0"/>
    <xf numFmtId="0" fontId="8" fillId="16" borderId="0" applyNumberFormat="0" applyBorder="0" applyAlignment="0" applyProtection="0"/>
    <xf numFmtId="0" fontId="9"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26" borderId="0" applyNumberFormat="0" applyBorder="0" applyAlignment="0" applyProtection="0"/>
    <xf numFmtId="0" fontId="8" fillId="26" borderId="0" applyNumberFormat="0" applyBorder="0" applyAlignment="0" applyProtection="0"/>
    <xf numFmtId="0" fontId="9" fillId="2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2" fillId="15" borderId="2" applyNumberFormat="0" applyAlignment="0" applyProtection="0"/>
    <xf numFmtId="0" fontId="12" fillId="15" borderId="2" applyNumberFormat="0" applyAlignment="0" applyProtection="0"/>
    <xf numFmtId="0" fontId="12" fillId="7" borderId="2" applyNumberFormat="0" applyAlignment="0" applyProtection="0"/>
    <xf numFmtId="0" fontId="12" fillId="15" borderId="2" applyNumberFormat="0" applyAlignment="0" applyProtection="0"/>
    <xf numFmtId="0" fontId="12" fillId="15"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3" fillId="15" borderId="2" applyNumberFormat="0" applyAlignment="0" applyProtection="0"/>
    <xf numFmtId="0" fontId="12" fillId="15" borderId="2" applyNumberFormat="0" applyAlignment="0" applyProtection="0"/>
    <xf numFmtId="0" fontId="13" fillId="15" borderId="2"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4" fillId="29" borderId="3" applyNumberFormat="0" applyAlignment="0" applyProtection="0"/>
    <xf numFmtId="0" fontId="15" fillId="29" borderId="3" applyNumberFormat="0" applyAlignment="0" applyProtection="0"/>
    <xf numFmtId="0" fontId="14" fillId="29" borderId="3" applyNumberFormat="0" applyAlignment="0" applyProtection="0"/>
    <xf numFmtId="0" fontId="15" fillId="29" borderId="3" applyNumberFormat="0" applyAlignment="0" applyProtection="0"/>
    <xf numFmtId="167" fontId="16"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5"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7" fillId="0" borderId="0" applyFont="0" applyFill="0" applyBorder="0" applyAlignment="0" applyProtection="0"/>
    <xf numFmtId="168" fontId="5" fillId="0" borderId="0" applyFont="0" applyFill="0" applyBorder="0" applyAlignment="0" applyProtection="0"/>
    <xf numFmtId="168" fontId="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9"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65" fontId="18" fillId="0" borderId="0" applyFont="0" applyFill="0" applyBorder="0" applyAlignment="0" applyProtection="0"/>
    <xf numFmtId="165" fontId="5"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69"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16"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8"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7" fillId="0" borderId="0" applyFont="0" applyFill="0" applyBorder="0" applyAlignment="0" applyProtection="0"/>
    <xf numFmtId="168" fontId="19" fillId="0" borderId="0" applyFont="0" applyFill="0" applyBorder="0" applyAlignment="0" applyProtection="0"/>
    <xf numFmtId="173" fontId="16" fillId="0" borderId="0" applyFont="0" applyFill="0" applyBorder="0" applyAlignment="0" applyProtection="0"/>
    <xf numFmtId="168" fontId="16" fillId="0" borderId="0" applyFont="0" applyFill="0" applyBorder="0" applyAlignment="0" applyProtection="0"/>
    <xf numFmtId="168" fontId="19" fillId="0" borderId="0" applyFont="0" applyFill="0" applyBorder="0" applyAlignment="0" applyProtection="0"/>
    <xf numFmtId="173" fontId="16" fillId="0" borderId="0" applyFont="0" applyFill="0" applyBorder="0" applyAlignment="0" applyProtection="0"/>
    <xf numFmtId="168" fontId="16"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165" fontId="20" fillId="0" borderId="0" applyFont="0" applyFill="0" applyBorder="0" applyAlignment="0" applyProtection="0"/>
    <xf numFmtId="168"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6" fillId="0" borderId="0" applyFont="0" applyFill="0" applyBorder="0" applyAlignment="0" applyProtection="0"/>
    <xf numFmtId="168" fontId="19" fillId="0" borderId="0" applyFont="0" applyFill="0" applyBorder="0" applyAlignment="0" applyProtection="0"/>
    <xf numFmtId="168" fontId="16" fillId="0" borderId="0" applyFont="0" applyFill="0" applyBorder="0" applyAlignment="0" applyProtection="0"/>
    <xf numFmtId="168" fontId="19"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7" fillId="0" borderId="0" applyFont="0" applyFill="0" applyBorder="0" applyAlignment="0" applyProtection="0"/>
    <xf numFmtId="168"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6" fillId="0" borderId="0" applyFont="0" applyFill="0" applyBorder="0" applyAlignment="0" applyProtection="0"/>
    <xf numFmtId="168" fontId="19" fillId="0" borderId="0" applyFont="0" applyFill="0" applyBorder="0" applyAlignment="0" applyProtection="0"/>
    <xf numFmtId="168" fontId="16" fillId="0" borderId="0" applyFont="0" applyFill="0" applyBorder="0" applyAlignment="0" applyProtection="0"/>
    <xf numFmtId="168" fontId="19"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5"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 fontId="17" fillId="0" borderId="0" applyFont="0" applyFill="0" applyBorder="0" applyAlignment="0" applyProtection="0">
      <alignment vertical="top"/>
    </xf>
    <xf numFmtId="174" fontId="17"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4" fontId="17" fillId="0" borderId="0" applyFont="0" applyFill="0" applyBorder="0" applyAlignment="0" applyProtection="0"/>
    <xf numFmtId="176" fontId="17" fillId="0" borderId="0" applyFont="0" applyFill="0" applyBorder="0" applyAlignment="0" applyProtection="0">
      <alignment vertical="top"/>
    </xf>
    <xf numFmtId="0" fontId="17" fillId="0" borderId="0" applyNumberFormat="0" applyFill="0" applyBorder="0" applyProtection="0">
      <alignment horizontal="left"/>
    </xf>
    <xf numFmtId="0" fontId="17" fillId="0" borderId="0" applyNumberForma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Protection="0">
      <alignment horizontal="left"/>
    </xf>
    <xf numFmtId="0" fontId="17" fillId="0" borderId="0" applyNumberFormat="0" applyFill="0" applyBorder="0" applyAlignment="0" applyProtection="0"/>
    <xf numFmtId="0" fontId="17" fillId="0" borderId="0" applyFont="0" applyFill="0" applyBorder="0" applyAlignment="0" applyProtection="0">
      <alignment vertical="top"/>
    </xf>
    <xf numFmtId="177" fontId="16" fillId="0" borderId="0" applyFont="0" applyFill="0" applyBorder="0" applyAlignment="0" applyProtection="0"/>
    <xf numFmtId="177" fontId="16" fillId="0" borderId="0" applyFont="0" applyFill="0" applyBorder="0" applyAlignment="0" applyProtection="0"/>
    <xf numFmtId="0" fontId="22" fillId="0" borderId="0"/>
    <xf numFmtId="0" fontId="5" fillId="0" borderId="0"/>
    <xf numFmtId="0" fontId="17" fillId="0" borderId="0"/>
    <xf numFmtId="0" fontId="6" fillId="0" borderId="0"/>
    <xf numFmtId="0" fontId="17"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2" fontId="17" fillId="0" borderId="0" applyFont="0" applyFill="0" applyBorder="0" applyAlignment="0" applyProtection="0">
      <alignment vertical="top"/>
    </xf>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10" borderId="0" applyNumberFormat="0" applyBorder="0" applyAlignment="0" applyProtection="0"/>
    <xf numFmtId="0" fontId="25" fillId="10" borderId="0" applyNumberFormat="0" applyBorder="0" applyAlignment="0" applyProtection="0"/>
    <xf numFmtId="0" fontId="26" fillId="10" borderId="0" applyNumberFormat="0" applyBorder="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9" fillId="0" borderId="4" applyNumberFormat="0" applyFill="0" applyAlignment="0" applyProtection="0"/>
    <xf numFmtId="0" fontId="27" fillId="0" borderId="4" applyNumberFormat="0" applyFill="0" applyAlignment="0" applyProtection="0"/>
    <xf numFmtId="0" fontId="29" fillId="0" borderId="4"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2" fillId="0" borderId="6" applyNumberFormat="0" applyFill="0" applyAlignment="0" applyProtection="0"/>
    <xf numFmtId="0" fontId="30" fillId="0" borderId="6"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5" fillId="0" borderId="7" applyNumberFormat="0" applyFill="0" applyAlignment="0" applyProtection="0"/>
    <xf numFmtId="0" fontId="33" fillId="0" borderId="7" applyNumberFormat="0" applyFill="0" applyAlignment="0" applyProtection="0"/>
    <xf numFmtId="0" fontId="35" fillId="0" borderId="7"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3" fontId="36" fillId="0" borderId="0">
      <alignment vertical="top"/>
    </xf>
    <xf numFmtId="2" fontId="37" fillId="0" borderId="9">
      <alignment horizontal="center" vertical="center"/>
    </xf>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1" fillId="9" borderId="2" applyNumberFormat="0" applyAlignment="0" applyProtection="0"/>
    <xf numFmtId="0" fontId="42" fillId="9" borderId="2" applyNumberFormat="0" applyAlignment="0" applyProtection="0"/>
    <xf numFmtId="0" fontId="41" fillId="9" borderId="2" applyNumberFormat="0" applyAlignment="0" applyProtection="0"/>
    <xf numFmtId="0" fontId="42" fillId="9" borderId="2" applyNumberFormat="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43" fontId="16" fillId="0" borderId="0" applyFont="0" applyFill="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6" fillId="18" borderId="0" applyNumberFormat="0" applyBorder="0" applyAlignment="0" applyProtection="0"/>
    <xf numFmtId="0" fontId="45" fillId="18" borderId="0" applyNumberFormat="0" applyBorder="0" applyAlignment="0" applyProtection="0"/>
    <xf numFmtId="0" fontId="46" fillId="18" borderId="0" applyNumberFormat="0" applyBorder="0" applyAlignment="0" applyProtection="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16" fillId="0" borderId="0"/>
    <xf numFmtId="0" fontId="16" fillId="0" borderId="0"/>
    <xf numFmtId="0" fontId="16" fillId="0" borderId="0"/>
    <xf numFmtId="0" fontId="7" fillId="0" borderId="0"/>
    <xf numFmtId="0" fontId="7" fillId="0" borderId="0"/>
    <xf numFmtId="0" fontId="7" fillId="0" borderId="0"/>
    <xf numFmtId="0" fontId="16" fillId="0" borderId="0"/>
    <xf numFmtId="0" fontId="16" fillId="0" borderId="0"/>
    <xf numFmtId="0" fontId="16" fillId="0" borderId="0"/>
    <xf numFmtId="0" fontId="16" fillId="0" borderId="0"/>
    <xf numFmtId="0" fontId="7" fillId="0" borderId="0"/>
    <xf numFmtId="0" fontId="7" fillId="0" borderId="0"/>
    <xf numFmtId="0" fontId="7" fillId="0" borderId="0"/>
    <xf numFmtId="0" fontId="7" fillId="0" borderId="0"/>
    <xf numFmtId="0" fontId="17" fillId="0" borderId="0"/>
    <xf numFmtId="0" fontId="17" fillId="0" borderId="0"/>
    <xf numFmtId="0" fontId="5" fillId="0" borderId="0"/>
    <xf numFmtId="0" fontId="7" fillId="0" borderId="0"/>
    <xf numFmtId="0" fontId="7"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5" fillId="0" borderId="0"/>
    <xf numFmtId="0" fontId="17" fillId="0" borderId="0"/>
    <xf numFmtId="0" fontId="5" fillId="0" borderId="0"/>
    <xf numFmtId="0" fontId="1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16" fillId="0" borderId="0"/>
    <xf numFmtId="0" fontId="5" fillId="0" borderId="0"/>
    <xf numFmtId="0" fontId="16" fillId="0" borderId="0"/>
    <xf numFmtId="0" fontId="5" fillId="0" borderId="0"/>
    <xf numFmtId="0" fontId="17" fillId="0" borderId="0"/>
    <xf numFmtId="0" fontId="5" fillId="0" borderId="0"/>
    <xf numFmtId="0" fontId="6" fillId="0" borderId="0"/>
    <xf numFmtId="0" fontId="16" fillId="0" borderId="0"/>
    <xf numFmtId="0" fontId="16" fillId="0" borderId="0"/>
    <xf numFmtId="0" fontId="17" fillId="0" borderId="0"/>
    <xf numFmtId="0" fontId="16" fillId="0" borderId="0"/>
    <xf numFmtId="0" fontId="17" fillId="0" borderId="0"/>
    <xf numFmtId="0" fontId="7" fillId="0" borderId="0"/>
    <xf numFmtId="0" fontId="7" fillId="0" borderId="0"/>
    <xf numFmtId="0" fontId="7" fillId="0" borderId="0"/>
    <xf numFmtId="0" fontId="16" fillId="0" borderId="0"/>
    <xf numFmtId="0" fontId="16" fillId="0" borderId="0"/>
    <xf numFmtId="0" fontId="17" fillId="0" borderId="0"/>
    <xf numFmtId="0" fontId="17" fillId="0" borderId="0"/>
    <xf numFmtId="0" fontId="16" fillId="0" borderId="0"/>
    <xf numFmtId="0" fontId="17"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6" fillId="0" borderId="0"/>
    <xf numFmtId="0" fontId="17"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17" fillId="0" borderId="0"/>
    <xf numFmtId="0" fontId="5"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6"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5"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7" fillId="0" borderId="0"/>
    <xf numFmtId="0" fontId="16" fillId="0" borderId="0"/>
    <xf numFmtId="0" fontId="17" fillId="0" borderId="0"/>
    <xf numFmtId="0" fontId="16" fillId="0" borderId="0"/>
    <xf numFmtId="0" fontId="17" fillId="0" borderId="0"/>
    <xf numFmtId="0" fontId="16" fillId="0" borderId="0"/>
    <xf numFmtId="0" fontId="17" fillId="0" borderId="0"/>
    <xf numFmtId="0" fontId="16" fillId="0" borderId="0"/>
    <xf numFmtId="0" fontId="16" fillId="0" borderId="0"/>
    <xf numFmtId="178"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7" fillId="0" borderId="0"/>
    <xf numFmtId="0" fontId="16" fillId="0" borderId="0"/>
    <xf numFmtId="0" fontId="7" fillId="0" borderId="0"/>
    <xf numFmtId="0" fontId="16" fillId="0" borderId="0"/>
    <xf numFmtId="0" fontId="7"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16" fillId="0" borderId="0"/>
    <xf numFmtId="0" fontId="16"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11" borderId="11" applyNumberFormat="0" applyFont="0" applyAlignment="0" applyProtection="0"/>
    <xf numFmtId="0" fontId="48"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48"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48" fillId="11" borderId="11" applyNumberFormat="0" applyFont="0" applyAlignment="0" applyProtection="0"/>
    <xf numFmtId="0" fontId="17"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17" fillId="11" borderId="11" applyNumberFormat="0" applyFont="0" applyAlignment="0" applyProtection="0"/>
    <xf numFmtId="0" fontId="17" fillId="11" borderId="11" applyNumberFormat="0" applyFont="0" applyAlignment="0" applyProtection="0"/>
    <xf numFmtId="0" fontId="17" fillId="11" borderId="11" applyNumberFormat="0" applyFont="0" applyAlignment="0" applyProtection="0"/>
    <xf numFmtId="0" fontId="17" fillId="11" borderId="11" applyNumberFormat="0" applyFont="0" applyAlignment="0" applyProtection="0"/>
    <xf numFmtId="0" fontId="17" fillId="11" borderId="11" applyNumberFormat="0" applyFont="0" applyAlignment="0" applyProtection="0"/>
    <xf numFmtId="0" fontId="17" fillId="11" borderId="11" applyNumberFormat="0" applyFont="0" applyAlignment="0" applyProtection="0"/>
    <xf numFmtId="0" fontId="17"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179" fontId="49" fillId="0" borderId="0">
      <alignment horizontal="left"/>
    </xf>
    <xf numFmtId="0" fontId="50" fillId="0" borderId="0"/>
    <xf numFmtId="0" fontId="51" fillId="15" borderId="12" applyNumberFormat="0" applyAlignment="0" applyProtection="0"/>
    <xf numFmtId="0" fontId="51" fillId="15" borderId="12" applyNumberFormat="0" applyAlignment="0" applyProtection="0"/>
    <xf numFmtId="0" fontId="51" fillId="7"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2" fillId="15" borderId="12" applyNumberFormat="0" applyAlignment="0" applyProtection="0"/>
    <xf numFmtId="0" fontId="51" fillId="15" borderId="12" applyNumberFormat="0" applyAlignment="0" applyProtection="0"/>
    <xf numFmtId="0" fontId="52" fillId="15" borderId="12" applyNumberFormat="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53" fillId="0" borderId="0" applyFont="0" applyFill="0" applyBorder="0" applyAlignment="0" applyProtection="0"/>
    <xf numFmtId="9" fontId="16" fillId="0" borderId="0" applyFill="0" applyBorder="0" applyAlignment="0" applyProtection="0"/>
    <xf numFmtId="180" fontId="54" fillId="0" borderId="0"/>
    <xf numFmtId="0" fontId="16" fillId="0" borderId="0"/>
    <xf numFmtId="0" fontId="55" fillId="0" borderId="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4"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60" fillId="0" borderId="13" applyNumberFormat="0" applyFill="0" applyAlignment="0" applyProtection="0"/>
    <xf numFmtId="0" fontId="59" fillId="0" borderId="13" applyNumberFormat="0" applyFill="0" applyAlignment="0" applyProtection="0"/>
    <xf numFmtId="0" fontId="60" fillId="0" borderId="13" applyNumberFormat="0" applyFill="0" applyAlignment="0" applyProtection="0"/>
    <xf numFmtId="179" fontId="49" fillId="0" borderId="0">
      <alignment horizontal="left"/>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8"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8" fillId="28" borderId="0" applyNumberFormat="0" applyBorder="0" applyAlignment="0" applyProtection="0"/>
    <xf numFmtId="0" fontId="41" fillId="9" borderId="2" applyNumberFormat="0" applyAlignment="0" applyProtection="0"/>
    <xf numFmtId="0" fontId="42" fillId="9" borderId="2" applyNumberFormat="0" applyAlignment="0" applyProtection="0"/>
    <xf numFmtId="0" fontId="42" fillId="9" borderId="2" applyNumberFormat="0" applyAlignment="0" applyProtection="0"/>
    <xf numFmtId="0" fontId="42" fillId="9" borderId="2" applyNumberFormat="0" applyAlignment="0" applyProtection="0"/>
    <xf numFmtId="0" fontId="42" fillId="9" borderId="2" applyNumberFormat="0" applyAlignment="0" applyProtection="0"/>
    <xf numFmtId="0" fontId="42" fillId="9" borderId="2" applyNumberFormat="0" applyAlignment="0" applyProtection="0"/>
    <xf numFmtId="0" fontId="42" fillId="9" borderId="2" applyNumberFormat="0" applyAlignment="0" applyProtection="0"/>
    <xf numFmtId="0" fontId="42" fillId="9" borderId="2" applyNumberFormat="0" applyAlignment="0" applyProtection="0"/>
    <xf numFmtId="0" fontId="42" fillId="9" borderId="2" applyNumberFormat="0" applyAlignment="0" applyProtection="0"/>
    <xf numFmtId="0" fontId="41" fillId="9" borderId="2" applyNumberFormat="0" applyAlignment="0" applyProtection="0"/>
    <xf numFmtId="9" fontId="16" fillId="0" borderId="0" applyFill="0" applyBorder="0" applyAlignment="0" applyProtection="0"/>
    <xf numFmtId="0" fontId="51" fillId="15" borderId="12" applyNumberFormat="0" applyAlignment="0" applyProtection="0"/>
    <xf numFmtId="0" fontId="52" fillId="15" borderId="12" applyNumberFormat="0" applyAlignment="0" applyProtection="0"/>
    <xf numFmtId="0" fontId="52" fillId="15" borderId="12" applyNumberFormat="0" applyAlignment="0" applyProtection="0"/>
    <xf numFmtId="0" fontId="52" fillId="15" borderId="12" applyNumberFormat="0" applyAlignment="0" applyProtection="0"/>
    <xf numFmtId="0" fontId="52" fillId="15" borderId="12" applyNumberFormat="0" applyAlignment="0" applyProtection="0"/>
    <xf numFmtId="0" fontId="52" fillId="15" borderId="12" applyNumberFormat="0" applyAlignment="0" applyProtection="0"/>
    <xf numFmtId="0" fontId="52" fillId="15" borderId="12" applyNumberFormat="0" applyAlignment="0" applyProtection="0"/>
    <xf numFmtId="0" fontId="52" fillId="15" borderId="12" applyNumberFormat="0" applyAlignment="0" applyProtection="0"/>
    <xf numFmtId="0" fontId="52"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7" borderId="12" applyNumberFormat="0" applyAlignment="0" applyProtection="0"/>
    <xf numFmtId="0" fontId="51" fillId="7" borderId="12" applyNumberFormat="0" applyAlignment="0" applyProtection="0"/>
    <xf numFmtId="0" fontId="12" fillId="15" borderId="2" applyNumberFormat="0" applyAlignment="0" applyProtection="0"/>
    <xf numFmtId="0" fontId="13" fillId="15" borderId="2" applyNumberFormat="0" applyAlignment="0" applyProtection="0"/>
    <xf numFmtId="0" fontId="13" fillId="15" borderId="2" applyNumberFormat="0" applyAlignment="0" applyProtection="0"/>
    <xf numFmtId="0" fontId="13" fillId="15" borderId="2" applyNumberFormat="0" applyAlignment="0" applyProtection="0"/>
    <xf numFmtId="0" fontId="13" fillId="15" borderId="2" applyNumberFormat="0" applyAlignment="0" applyProtection="0"/>
    <xf numFmtId="0" fontId="13" fillId="15" borderId="2" applyNumberFormat="0" applyAlignment="0" applyProtection="0"/>
    <xf numFmtId="0" fontId="13" fillId="15" borderId="2" applyNumberFormat="0" applyAlignment="0" applyProtection="0"/>
    <xf numFmtId="0" fontId="13" fillId="15" borderId="2" applyNumberFormat="0" applyAlignment="0" applyProtection="0"/>
    <xf numFmtId="0" fontId="13"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7" borderId="2" applyNumberFormat="0" applyAlignment="0" applyProtection="0"/>
    <xf numFmtId="0" fontId="12" fillId="7" borderId="2" applyNumberFormat="0" applyAlignment="0" applyProtection="0"/>
    <xf numFmtId="0" fontId="6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8"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175" fontId="16" fillId="0" borderId="0" applyFont="0" applyFill="0" applyBorder="0" applyAlignment="0" applyProtection="0"/>
    <xf numFmtId="168" fontId="16" fillId="0" borderId="0" applyFont="0" applyFill="0" applyBorder="0" applyAlignment="0" applyProtection="0"/>
    <xf numFmtId="181" fontId="17" fillId="0" borderId="0"/>
    <xf numFmtId="168" fontId="16" fillId="0" borderId="0" applyFont="0" applyFill="0" applyBorder="0" applyAlignment="0" applyProtection="0"/>
    <xf numFmtId="168" fontId="16" fillId="0" borderId="0" applyFont="0" applyFill="0" applyBorder="0" applyAlignment="0" applyProtection="0"/>
    <xf numFmtId="174" fontId="6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81" fontId="17" fillId="0" borderId="0"/>
    <xf numFmtId="0" fontId="27"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30"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3"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7" fillId="0" borderId="0"/>
    <xf numFmtId="0" fontId="59" fillId="0" borderId="13" applyNumberFormat="0" applyFill="0" applyAlignment="0" applyProtection="0"/>
    <xf numFmtId="0" fontId="60" fillId="0" borderId="13" applyNumberFormat="0" applyFill="0" applyAlignment="0" applyProtection="0"/>
    <xf numFmtId="0" fontId="60" fillId="0" borderId="13" applyNumberFormat="0" applyFill="0" applyAlignment="0" applyProtection="0"/>
    <xf numFmtId="0" fontId="60" fillId="0" borderId="13" applyNumberFormat="0" applyFill="0" applyAlignment="0" applyProtection="0"/>
    <xf numFmtId="0" fontId="60" fillId="0" borderId="13" applyNumberFormat="0" applyFill="0" applyAlignment="0" applyProtection="0"/>
    <xf numFmtId="0" fontId="60" fillId="0" borderId="13" applyNumberFormat="0" applyFill="0" applyAlignment="0" applyProtection="0"/>
    <xf numFmtId="0" fontId="60" fillId="0" borderId="13" applyNumberFormat="0" applyFill="0" applyAlignment="0" applyProtection="0"/>
    <xf numFmtId="0" fontId="60" fillId="0" borderId="13" applyNumberFormat="0" applyFill="0" applyAlignment="0" applyProtection="0"/>
    <xf numFmtId="0" fontId="60"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14" fillId="29" borderId="3" applyNumberFormat="0" applyAlignment="0" applyProtection="0"/>
    <xf numFmtId="0" fontId="15" fillId="29" borderId="3" applyNumberFormat="0" applyAlignment="0" applyProtection="0"/>
    <xf numFmtId="0" fontId="15" fillId="29" borderId="3" applyNumberFormat="0" applyAlignment="0" applyProtection="0"/>
    <xf numFmtId="0" fontId="15" fillId="29" borderId="3" applyNumberFormat="0" applyAlignment="0" applyProtection="0"/>
    <xf numFmtId="0" fontId="15" fillId="29" borderId="3" applyNumberFormat="0" applyAlignment="0" applyProtection="0"/>
    <xf numFmtId="0" fontId="15" fillId="29" borderId="3" applyNumberFormat="0" applyAlignment="0" applyProtection="0"/>
    <xf numFmtId="0" fontId="15" fillId="29" borderId="3" applyNumberFormat="0" applyAlignment="0" applyProtection="0"/>
    <xf numFmtId="0" fontId="15" fillId="29" borderId="3" applyNumberFormat="0" applyAlignment="0" applyProtection="0"/>
    <xf numFmtId="0" fontId="15" fillId="29" borderId="3" applyNumberFormat="0" applyAlignment="0" applyProtection="0"/>
    <xf numFmtId="0" fontId="14" fillId="29" borderId="3" applyNumberFormat="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5"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5" fillId="18" borderId="0" applyNumberFormat="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53" fillId="0" borderId="0"/>
    <xf numFmtId="0" fontId="67"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53" fillId="0" borderId="0"/>
    <xf numFmtId="0" fontId="20" fillId="0" borderId="0"/>
    <xf numFmtId="0" fontId="2" fillId="0" borderId="0"/>
    <xf numFmtId="0" fontId="2" fillId="0" borderId="0"/>
    <xf numFmtId="0" fontId="53"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 fillId="0" borderId="0"/>
    <xf numFmtId="0" fontId="1"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8" fillId="0" borderId="0">
      <alignment horizontal="left" vertical="top"/>
    </xf>
    <xf numFmtId="0" fontId="18" fillId="0" borderId="0">
      <alignment horizontal="left" vertical="top"/>
    </xf>
    <xf numFmtId="0" fontId="18" fillId="0" borderId="0">
      <alignment horizontal="left" vertical="top"/>
    </xf>
    <xf numFmtId="0" fontId="18" fillId="0" borderId="0">
      <alignment horizontal="left" vertical="top"/>
    </xf>
    <xf numFmtId="0" fontId="18" fillId="0" borderId="0">
      <alignment horizontal="left" vertical="top"/>
    </xf>
    <xf numFmtId="0" fontId="18" fillId="0" borderId="0">
      <alignment horizontal="left" vertical="top"/>
    </xf>
    <xf numFmtId="0" fontId="18" fillId="0" borderId="0">
      <alignment horizontal="left" vertical="top"/>
    </xf>
    <xf numFmtId="0" fontId="18" fillId="0" borderId="0">
      <alignment horizontal="lef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69" fillId="0" borderId="0"/>
    <xf numFmtId="0" fontId="17" fillId="0" borderId="0"/>
    <xf numFmtId="0" fontId="18" fillId="0" borderId="0">
      <alignment horizontal="left" vertical="top"/>
    </xf>
    <xf numFmtId="0" fontId="18" fillId="0" borderId="0">
      <alignment horizontal="left" vertical="top"/>
    </xf>
    <xf numFmtId="0" fontId="18" fillId="0" borderId="0">
      <alignment horizontal="left" vertical="top"/>
    </xf>
    <xf numFmtId="0" fontId="53" fillId="0" borderId="0"/>
    <xf numFmtId="0" fontId="53" fillId="0" borderId="0"/>
    <xf numFmtId="0" fontId="53" fillId="0" borderId="0"/>
    <xf numFmtId="0" fontId="53" fillId="0" borderId="0"/>
    <xf numFmtId="0" fontId="53" fillId="0" borderId="0"/>
    <xf numFmtId="0" fontId="18" fillId="0" borderId="0">
      <alignment horizontal="left" vertical="top"/>
    </xf>
    <xf numFmtId="0" fontId="18" fillId="0" borderId="0">
      <alignment horizontal="left" vertical="top"/>
    </xf>
    <xf numFmtId="0" fontId="18" fillId="0" borderId="0">
      <alignment horizontal="left" vertical="top"/>
    </xf>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53" fillId="0" borderId="0"/>
    <xf numFmtId="0" fontId="53" fillId="0" borderId="0"/>
    <xf numFmtId="0" fontId="16" fillId="0" borderId="0"/>
    <xf numFmtId="0" fontId="16"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53" fillId="0" borderId="0"/>
    <xf numFmtId="0" fontId="53" fillId="0" borderId="0"/>
    <xf numFmtId="0" fontId="53" fillId="0" borderId="0"/>
    <xf numFmtId="0" fontId="53" fillId="0" borderId="0"/>
    <xf numFmtId="0" fontId="16"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7" fillId="0" borderId="0"/>
    <xf numFmtId="0" fontId="16" fillId="0" borderId="0"/>
    <xf numFmtId="0" fontId="5" fillId="0" borderId="0"/>
    <xf numFmtId="0" fontId="67" fillId="0" borderId="0"/>
    <xf numFmtId="0" fontId="5"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70"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5" fillId="0" borderId="0"/>
    <xf numFmtId="0" fontId="5" fillId="0" borderId="0"/>
    <xf numFmtId="0" fontId="7" fillId="0" borderId="0"/>
    <xf numFmtId="0" fontId="1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7" fillId="0" borderId="0"/>
    <xf numFmtId="0" fontId="17" fillId="0" borderId="0"/>
    <xf numFmtId="0" fontId="16" fillId="0" borderId="0"/>
    <xf numFmtId="0" fontId="16" fillId="0" borderId="0"/>
    <xf numFmtId="0" fontId="16" fillId="0" borderId="0"/>
    <xf numFmtId="0" fontId="17" fillId="0" borderId="0"/>
    <xf numFmtId="0" fontId="17" fillId="0" borderId="0"/>
    <xf numFmtId="0" fontId="17"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0"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7" fillId="11" borderId="11" applyNumberFormat="0" applyFont="0" applyAlignment="0" applyProtection="0"/>
    <xf numFmtId="0" fontId="17"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9" fontId="7" fillId="0" borderId="0" applyFont="0" applyFill="0" applyBorder="0" applyAlignment="0" applyProtection="0"/>
    <xf numFmtId="9" fontId="1" fillId="0" borderId="0" applyFont="0" applyFill="0" applyBorder="0" applyAlignment="0" applyProtection="0"/>
    <xf numFmtId="9" fontId="17" fillId="0" borderId="0"/>
    <xf numFmtId="9" fontId="5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16" fillId="0" borderId="0" applyFill="0" applyBorder="0" applyAlignment="0" applyProtection="0"/>
    <xf numFmtId="9" fontId="6" fillId="0" borderId="0" applyFont="0" applyFill="0" applyBorder="0" applyAlignment="0" applyProtection="0"/>
    <xf numFmtId="9" fontId="17" fillId="0" borderId="0"/>
    <xf numFmtId="9" fontId="16"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16" fillId="0" borderId="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16" fillId="0" borderId="0"/>
    <xf numFmtId="0" fontId="16" fillId="0" borderId="0"/>
    <xf numFmtId="0" fontId="53" fillId="0" borderId="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82" fontId="5"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3" fontId="17" fillId="0" borderId="0" applyFill="0" applyBorder="0" applyAlignment="0" applyProtection="0"/>
    <xf numFmtId="168"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6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84" fontId="5" fillId="0" borderId="0"/>
    <xf numFmtId="182" fontId="6" fillId="0" borderId="0" applyFont="0" applyFill="0" applyBorder="0" applyAlignment="0" applyProtection="0"/>
    <xf numFmtId="165" fontId="6" fillId="0" borderId="0" applyFont="0" applyFill="0" applyBorder="0" applyAlignment="0" applyProtection="0"/>
    <xf numFmtId="182" fontId="53" fillId="0" borderId="0" applyFont="0" applyFill="0" applyBorder="0" applyAlignment="0" applyProtection="0"/>
    <xf numFmtId="182" fontId="6" fillId="0" borderId="0" applyFont="0" applyFill="0" applyBorder="0" applyAlignment="0" applyProtection="0"/>
    <xf numFmtId="183" fontId="17" fillId="0" borderId="0" applyFill="0" applyBorder="0" applyAlignment="0" applyProtection="0"/>
    <xf numFmtId="0" fontId="2" fillId="0" borderId="0"/>
    <xf numFmtId="182" fontId="5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3"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53"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85" fontId="5"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6" fontId="6" fillId="0" borderId="0"/>
    <xf numFmtId="184" fontId="5" fillId="0" borderId="0"/>
    <xf numFmtId="164" fontId="20"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3"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2"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16"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8" fontId="17" fillId="0" borderId="0" applyFill="0" applyBorder="0" applyAlignment="0" applyProtection="0"/>
    <xf numFmtId="188" fontId="17" fillId="0" borderId="0" applyFill="0" applyBorder="0" applyAlignment="0" applyProtection="0"/>
    <xf numFmtId="188" fontId="17" fillId="0" borderId="0" applyFill="0" applyBorder="0" applyAlignment="0" applyProtection="0"/>
    <xf numFmtId="188" fontId="17" fillId="0" borderId="0" applyFill="0" applyBorder="0" applyAlignment="0" applyProtection="0"/>
    <xf numFmtId="188" fontId="17"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6" fontId="6" fillId="0" borderId="0"/>
    <xf numFmtId="184" fontId="5" fillId="0" borderId="0"/>
    <xf numFmtId="165" fontId="1" fillId="0" borderId="0" applyFont="0" applyFill="0" applyBorder="0" applyAlignment="0" applyProtection="0"/>
    <xf numFmtId="183" fontId="17" fillId="0" borderId="0" applyFill="0" applyBorder="0" applyAlignment="0" applyProtection="0"/>
    <xf numFmtId="0" fontId="25"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5" fillId="1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7" fillId="4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7" fillId="40"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7" fillId="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7" fillId="2"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 fillId="4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7" fillId="46"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7" fillId="5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 fillId="50"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7" fillId="5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7" fillId="5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7" fillId="5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7" fillId="5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 fillId="4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7" fillId="41"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7" fillId="3"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7" fillId="3"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7" fillId="4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7" fillId="47"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 fillId="4"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 fillId="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7" fillId="5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7" fillId="5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7" fillId="5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 fillId="58" borderId="0" applyNumberFormat="0" applyBorder="0" applyAlignment="0" applyProtection="0"/>
    <xf numFmtId="0" fontId="5"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78" fillId="42"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7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8" fillId="4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8" fillId="5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78"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8" fillId="5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78" fillId="39"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78" fillId="43"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78" fillId="4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78" fillId="49"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78" fillId="52"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78" fillId="5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79" fillId="33" borderId="0" applyNumberFormat="0" applyBorder="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80" fillId="36" borderId="18"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7"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2" fillId="15" borderId="2" applyNumberFormat="0" applyAlignment="0" applyProtection="0"/>
    <xf numFmtId="0" fontId="14" fillId="29" borderId="3" applyNumberFormat="0" applyAlignment="0" applyProtection="0"/>
    <xf numFmtId="0" fontId="14" fillId="29" borderId="3" applyNumberFormat="0" applyAlignment="0" applyProtection="0"/>
    <xf numFmtId="0" fontId="81" fillId="37" borderId="21" applyNumberFormat="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7" fillId="0" borderId="0" applyFont="0" applyFill="0" applyBorder="0" applyAlignment="0" applyProtection="0"/>
    <xf numFmtId="172"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72" fontId="17" fillId="0" borderId="0" applyFont="0" applyFill="0" applyBorder="0" applyAlignment="0" applyProtection="0"/>
    <xf numFmtId="168"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68" fontId="17" fillId="0" borderId="0" applyFont="0" applyFill="0" applyBorder="0" applyAlignment="0" applyProtection="0"/>
    <xf numFmtId="172" fontId="17" fillId="0" borderId="0" applyFont="0" applyFill="0" applyBorder="0" applyAlignment="0" applyProtection="0"/>
    <xf numFmtId="168" fontId="17" fillId="0" borderId="0" applyFont="0" applyFill="0" applyBorder="0" applyAlignment="0" applyProtection="0"/>
    <xf numFmtId="172"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72"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3" fontId="17" fillId="0" borderId="0" applyFont="0" applyFill="0" applyBorder="0" applyAlignment="0" applyProtection="0"/>
    <xf numFmtId="168" fontId="5"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9" fontId="17" fillId="0" borderId="0" applyFont="0" applyFill="0" applyBorder="0" applyAlignment="0" applyProtection="0"/>
    <xf numFmtId="168" fontId="5"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8" fontId="5" fillId="0" borderId="0" applyFont="0" applyFill="0" applyBorder="0" applyAlignment="0" applyProtection="0"/>
    <xf numFmtId="169" fontId="1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8" fontId="5" fillId="0" borderId="0" applyFont="0" applyFill="0" applyBorder="0" applyAlignment="0" applyProtection="0"/>
    <xf numFmtId="173" fontId="1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3" fontId="1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7" fillId="0" borderId="0" applyFont="0" applyFill="0" applyBorder="0" applyAlignment="0" applyProtection="0"/>
    <xf numFmtId="168" fontId="16" fillId="0" borderId="0" applyFont="0" applyFill="0" applyBorder="0" applyAlignment="0" applyProtection="0"/>
    <xf numFmtId="168" fontId="17" fillId="0" borderId="0" applyFont="0" applyFill="0" applyBorder="0" applyAlignment="0" applyProtection="0"/>
    <xf numFmtId="168" fontId="16" fillId="0" borderId="0" applyFont="0" applyFill="0" applyBorder="0" applyAlignment="0" applyProtection="0"/>
    <xf numFmtId="168" fontId="17" fillId="0" borderId="0" applyFont="0" applyFill="0" applyBorder="0" applyAlignment="0" applyProtection="0"/>
    <xf numFmtId="168" fontId="16" fillId="0" borderId="0" applyFont="0" applyFill="0" applyBorder="0" applyAlignment="0" applyProtection="0"/>
    <xf numFmtId="168" fontId="17" fillId="0" borderId="0" applyFont="0" applyFill="0" applyBorder="0" applyAlignment="0" applyProtection="0"/>
    <xf numFmtId="168" fontId="16" fillId="0" borderId="0" applyFont="0" applyFill="0" applyBorder="0" applyAlignment="0" applyProtection="0"/>
    <xf numFmtId="168" fontId="17"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7" fillId="0" borderId="0" applyFont="0" applyFill="0" applyBorder="0" applyAlignment="0" applyProtection="0"/>
    <xf numFmtId="168"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8" fontId="16"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8" fontId="16" fillId="0" borderId="0" applyFont="0" applyFill="0" applyBorder="0" applyAlignment="0" applyProtection="0"/>
    <xf numFmtId="168" fontId="17"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17" fillId="0" borderId="0" applyFont="0" applyFill="0" applyBorder="0" applyAlignment="0" applyProtection="0"/>
    <xf numFmtId="43" fontId="2"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2"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83" fillId="32" borderId="0" applyNumberFormat="0" applyBorder="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84" fillId="0" borderId="15"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85" fillId="0" borderId="1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86" fillId="0" borderId="1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1" fillId="9" borderId="2" applyNumberFormat="0" applyAlignment="0" applyProtection="0"/>
    <xf numFmtId="0" fontId="41" fillId="9" borderId="2" applyNumberFormat="0" applyAlignment="0" applyProtection="0"/>
    <xf numFmtId="0" fontId="87" fillId="35" borderId="18" applyNumberFormat="0" applyAlignment="0" applyProtection="0"/>
    <xf numFmtId="0" fontId="43" fillId="0" borderId="10" applyNumberFormat="0" applyFill="0" applyAlignment="0" applyProtection="0"/>
    <xf numFmtId="0" fontId="43" fillId="0" borderId="10" applyNumberFormat="0" applyFill="0" applyAlignment="0" applyProtection="0"/>
    <xf numFmtId="0" fontId="88" fillId="0" borderId="20" applyNumberFormat="0" applyFill="0" applyAlignment="0" applyProtection="0"/>
    <xf numFmtId="0" fontId="45" fillId="18" borderId="0" applyNumberFormat="0" applyBorder="0" applyAlignment="0" applyProtection="0"/>
    <xf numFmtId="0" fontId="45" fillId="18" borderId="0" applyNumberFormat="0" applyBorder="0" applyAlignment="0" applyProtection="0"/>
    <xf numFmtId="0" fontId="89" fillId="34"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90" fillId="0" borderId="0"/>
    <xf numFmtId="0" fontId="90" fillId="0" borderId="0"/>
    <xf numFmtId="0" fontId="17" fillId="0" borderId="0"/>
    <xf numFmtId="0" fontId="90" fillId="0" borderId="0"/>
    <xf numFmtId="0" fontId="16" fillId="0" borderId="0"/>
    <xf numFmtId="0" fontId="9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xf numFmtId="0" fontId="90" fillId="0" borderId="0"/>
    <xf numFmtId="0" fontId="90" fillId="0" borderId="0"/>
    <xf numFmtId="0" fontId="90" fillId="0" borderId="0"/>
    <xf numFmtId="0" fontId="90" fillId="0" borderId="0"/>
    <xf numFmtId="0" fontId="90" fillId="0" borderId="0"/>
    <xf numFmtId="0" fontId="17" fillId="0" borderId="0"/>
    <xf numFmtId="0" fontId="90" fillId="0" borderId="0"/>
    <xf numFmtId="0" fontId="90" fillId="0" borderId="0"/>
    <xf numFmtId="0" fontId="17" fillId="0" borderId="0"/>
    <xf numFmtId="0" fontId="17" fillId="0" borderId="0"/>
    <xf numFmtId="0" fontId="17" fillId="0" borderId="0"/>
    <xf numFmtId="0" fontId="17"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48" fillId="0" borderId="0"/>
    <xf numFmtId="0" fontId="48" fillId="0" borderId="0"/>
    <xf numFmtId="0" fontId="48" fillId="0" borderId="0"/>
    <xf numFmtId="0" fontId="48"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17"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17" fillId="11" borderId="11" applyNumberFormat="0" applyFont="0" applyAlignment="0" applyProtection="0"/>
    <xf numFmtId="0" fontId="17" fillId="11" borderId="11" applyNumberFormat="0" applyFont="0" applyAlignment="0" applyProtection="0"/>
    <xf numFmtId="0" fontId="17" fillId="11" borderId="11" applyNumberFormat="0" applyFont="0" applyAlignment="0" applyProtection="0"/>
    <xf numFmtId="0" fontId="17" fillId="11" borderId="11" applyNumberFormat="0" applyFont="0" applyAlignment="0" applyProtection="0"/>
    <xf numFmtId="0" fontId="17" fillId="11" borderId="11" applyNumberFormat="0" applyFont="0" applyAlignment="0" applyProtection="0"/>
    <xf numFmtId="0" fontId="17" fillId="11" borderId="11" applyNumberFormat="0" applyFont="0" applyAlignment="0" applyProtection="0"/>
    <xf numFmtId="0" fontId="7" fillId="38" borderId="22"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7" fillId="38" borderId="22" applyNumberFormat="0" applyFont="0" applyAlignment="0" applyProtection="0"/>
    <xf numFmtId="0" fontId="7" fillId="38" borderId="22"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7" fillId="38" borderId="22" applyNumberFormat="0" applyFont="0" applyAlignment="0" applyProtection="0"/>
    <xf numFmtId="0" fontId="17"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 fillId="11" borderId="11" applyNumberFormat="0" applyFon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91" fillId="36" borderId="19"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7"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0" fontId="51" fillId="15" borderId="12"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2" fillId="0" borderId="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3"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94" fillId="0" borderId="2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4"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59" fillId="0" borderId="13"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95" fillId="0" borderId="0" applyNumberFormat="0" applyFill="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51" fillId="7" borderId="1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12" fillId="7" borderId="2" applyNumberFormat="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6" fillId="0" borderId="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0" fontId="16" fillId="11" borderId="11"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cellStyleXfs>
  <cellXfs count="412">
    <xf numFmtId="0" fontId="0" fillId="0" borderId="0" xfId="0"/>
    <xf numFmtId="0" fontId="74" fillId="0" borderId="0" xfId="0" applyFont="1"/>
    <xf numFmtId="0" fontId="0" fillId="0" borderId="0" xfId="0" applyFont="1"/>
    <xf numFmtId="166" fontId="0" fillId="0" borderId="0" xfId="0" applyNumberFormat="1"/>
    <xf numFmtId="189" fontId="0" fillId="0" borderId="0" xfId="0" applyNumberFormat="1"/>
    <xf numFmtId="9" fontId="0" fillId="0" borderId="0" xfId="0" applyNumberFormat="1"/>
    <xf numFmtId="10" fontId="0" fillId="0" borderId="0" xfId="0" applyNumberFormat="1"/>
    <xf numFmtId="189" fontId="0" fillId="60" borderId="0" xfId="0" applyNumberFormat="1" applyFill="1"/>
    <xf numFmtId="0" fontId="75" fillId="0" borderId="24" xfId="0" applyFont="1" applyBorder="1"/>
    <xf numFmtId="0" fontId="0" fillId="0" borderId="24" xfId="0" applyBorder="1"/>
    <xf numFmtId="0" fontId="75" fillId="0" borderId="1" xfId="0" applyFont="1" applyBorder="1"/>
    <xf numFmtId="0" fontId="0" fillId="0" borderId="25" xfId="0" applyBorder="1"/>
    <xf numFmtId="0" fontId="75" fillId="0" borderId="26" xfId="0" applyFont="1" applyBorder="1"/>
    <xf numFmtId="0" fontId="0" fillId="0" borderId="27" xfId="0" applyBorder="1"/>
    <xf numFmtId="0" fontId="103" fillId="62" borderId="0" xfId="0" applyFont="1" applyFill="1" applyAlignment="1">
      <alignment wrapText="1"/>
    </xf>
    <xf numFmtId="0" fontId="104" fillId="62" borderId="0" xfId="0" applyFont="1" applyFill="1" applyAlignment="1">
      <alignment wrapText="1"/>
    </xf>
    <xf numFmtId="0" fontId="72" fillId="62" borderId="0" xfId="0" applyFont="1" applyFill="1" applyAlignment="1">
      <alignment horizontal="left" vertical="center"/>
    </xf>
    <xf numFmtId="0" fontId="105" fillId="62" borderId="0" xfId="0" applyFont="1" applyFill="1"/>
    <xf numFmtId="0" fontId="103" fillId="62" borderId="0" xfId="0" applyFont="1" applyFill="1"/>
    <xf numFmtId="0" fontId="107" fillId="62" borderId="0" xfId="0" applyFont="1" applyFill="1"/>
    <xf numFmtId="0" fontId="103" fillId="62" borderId="0" xfId="0" applyFont="1" applyFill="1" applyAlignment="1">
      <alignment horizontal="left"/>
    </xf>
    <xf numFmtId="0" fontId="73" fillId="62" borderId="0" xfId="0" applyFont="1" applyFill="1" applyAlignment="1">
      <alignment horizontal="left" vertical="center" wrapText="1"/>
    </xf>
    <xf numFmtId="0" fontId="106" fillId="62" borderId="0" xfId="0" applyFont="1" applyFill="1" applyAlignment="1">
      <alignment wrapText="1"/>
    </xf>
    <xf numFmtId="0" fontId="103" fillId="62" borderId="0" xfId="0" applyFont="1" applyFill="1" applyAlignment="1">
      <alignment horizontal="center" vertical="center"/>
    </xf>
    <xf numFmtId="0" fontId="103" fillId="62" borderId="0" xfId="0" applyFont="1" applyFill="1" applyAlignment="1">
      <alignment horizontal="left" vertical="center"/>
    </xf>
    <xf numFmtId="4" fontId="103" fillId="62" borderId="0" xfId="0" applyNumberFormat="1" applyFont="1" applyFill="1" applyAlignment="1">
      <alignment horizontal="center" vertical="center"/>
    </xf>
    <xf numFmtId="0" fontId="100" fillId="62" borderId="0" xfId="0" applyFont="1" applyFill="1" applyAlignment="1">
      <alignment horizontal="left" vertical="center" wrapText="1"/>
    </xf>
    <xf numFmtId="0" fontId="105" fillId="62" borderId="0" xfId="0" applyFont="1" applyFill="1" applyAlignment="1">
      <alignment wrapText="1"/>
    </xf>
    <xf numFmtId="9" fontId="103" fillId="62" borderId="0" xfId="0" applyNumberFormat="1" applyFont="1" applyFill="1" applyAlignment="1">
      <alignment horizontal="left" vertical="center"/>
    </xf>
    <xf numFmtId="0" fontId="108" fillId="63" borderId="0" xfId="0" applyFont="1" applyFill="1" applyAlignment="1">
      <alignment horizontal="left" vertical="center" wrapText="1"/>
    </xf>
    <xf numFmtId="0" fontId="109" fillId="63" borderId="0" xfId="0" applyFont="1" applyFill="1" applyAlignment="1">
      <alignment horizontal="left" vertical="center" wrapText="1"/>
    </xf>
    <xf numFmtId="0" fontId="101" fillId="31" borderId="0" xfId="0" applyFont="1" applyFill="1" applyAlignment="1">
      <alignment horizontal="left" vertical="center"/>
    </xf>
    <xf numFmtId="0" fontId="102" fillId="31" borderId="0" xfId="0" applyFont="1" applyFill="1" applyAlignment="1">
      <alignment horizontal="left" vertical="center" wrapText="1"/>
    </xf>
    <xf numFmtId="0" fontId="107" fillId="31" borderId="0" xfId="0" applyFont="1" applyFill="1"/>
    <xf numFmtId="0" fontId="107" fillId="31" borderId="0" xfId="0" applyFont="1" applyFill="1" applyAlignment="1">
      <alignment horizontal="left"/>
    </xf>
    <xf numFmtId="4" fontId="107" fillId="31" borderId="0" xfId="0" applyNumberFormat="1" applyFont="1" applyFill="1" applyAlignment="1">
      <alignment horizontal="center"/>
    </xf>
    <xf numFmtId="0" fontId="73" fillId="64" borderId="0" xfId="0" applyFont="1" applyFill="1" applyAlignment="1">
      <alignment horizontal="left" vertical="center"/>
    </xf>
    <xf numFmtId="0" fontId="99" fillId="64" borderId="0" xfId="0" applyFont="1" applyFill="1" applyAlignment="1">
      <alignment horizontal="left" vertical="center"/>
    </xf>
    <xf numFmtId="0" fontId="103" fillId="64" borderId="0" xfId="0" applyFont="1" applyFill="1" applyAlignment="1"/>
    <xf numFmtId="0" fontId="103" fillId="64" borderId="0" xfId="0" applyFont="1" applyFill="1" applyAlignment="1">
      <alignment horizontal="left"/>
    </xf>
    <xf numFmtId="4" fontId="103" fillId="64" borderId="0" xfId="0" applyNumberFormat="1" applyFont="1" applyFill="1" applyAlignment="1">
      <alignment horizontal="center"/>
    </xf>
    <xf numFmtId="0" fontId="103" fillId="64" borderId="0" xfId="0" applyFont="1" applyFill="1" applyAlignment="1">
      <alignment horizontal="center"/>
    </xf>
    <xf numFmtId="0" fontId="107" fillId="31" borderId="0" xfId="0" applyFont="1" applyFill="1" applyAlignment="1">
      <alignment horizontal="center"/>
    </xf>
    <xf numFmtId="0" fontId="103" fillId="62" borderId="0" xfId="0" applyFont="1" applyFill="1" applyAlignment="1">
      <alignment horizontal="left" vertical="center" wrapText="1"/>
    </xf>
    <xf numFmtId="0" fontId="105" fillId="62" borderId="0" xfId="0" applyFont="1" applyFill="1" applyAlignment="1">
      <alignment vertical="center" wrapText="1"/>
    </xf>
    <xf numFmtId="0" fontId="108" fillId="63" borderId="0" xfId="0" applyFont="1" applyFill="1" applyAlignment="1">
      <alignment horizontal="center" vertical="center" wrapText="1"/>
    </xf>
    <xf numFmtId="0" fontId="0" fillId="62" borderId="0" xfId="0" applyFill="1"/>
    <xf numFmtId="3" fontId="103" fillId="61" borderId="0" xfId="0" applyNumberFormat="1" applyFont="1" applyFill="1" applyAlignment="1">
      <alignment horizontal="center" vertical="center"/>
    </xf>
    <xf numFmtId="0" fontId="74" fillId="62" borderId="0" xfId="0" applyFont="1" applyFill="1"/>
    <xf numFmtId="0" fontId="108" fillId="63" borderId="30" xfId="0" applyFont="1" applyFill="1" applyBorder="1" applyAlignment="1">
      <alignment horizontal="left" vertical="center" wrapText="1"/>
    </xf>
    <xf numFmtId="0" fontId="108" fillId="63" borderId="30" xfId="0" applyFont="1" applyFill="1" applyBorder="1" applyAlignment="1">
      <alignment horizontal="center" vertical="center" wrapText="1"/>
    </xf>
    <xf numFmtId="4" fontId="103" fillId="62" borderId="30" xfId="0" applyNumberFormat="1" applyFont="1" applyFill="1" applyBorder="1" applyAlignment="1">
      <alignment horizontal="center" vertical="center"/>
    </xf>
    <xf numFmtId="0" fontId="116" fillId="62" borderId="0" xfId="0" applyFont="1" applyFill="1" applyAlignment="1">
      <alignment vertical="center"/>
    </xf>
    <xf numFmtId="0" fontId="115" fillId="63" borderId="0" xfId="0" applyFont="1" applyFill="1" applyAlignment="1">
      <alignment vertical="center"/>
    </xf>
    <xf numFmtId="0" fontId="117" fillId="63" borderId="0" xfId="0" applyFont="1" applyFill="1" applyAlignment="1">
      <alignment horizontal="center" vertical="center" wrapText="1"/>
    </xf>
    <xf numFmtId="4" fontId="103" fillId="61" borderId="0" xfId="0" applyNumberFormat="1" applyFont="1" applyFill="1" applyAlignment="1">
      <alignment horizontal="center" vertical="center"/>
    </xf>
    <xf numFmtId="165" fontId="0" fillId="62" borderId="0" xfId="0" applyNumberFormat="1" applyFill="1"/>
    <xf numFmtId="191" fontId="120" fillId="62" borderId="0" xfId="0" applyNumberFormat="1" applyFont="1" applyFill="1" applyAlignment="1">
      <alignment vertical="center"/>
    </xf>
    <xf numFmtId="0" fontId="120" fillId="62" borderId="0" xfId="0" applyFont="1" applyFill="1" applyAlignment="1">
      <alignment vertical="center" wrapText="1"/>
    </xf>
    <xf numFmtId="0" fontId="120" fillId="62" borderId="0" xfId="0" applyFont="1" applyFill="1" applyAlignment="1">
      <alignment vertical="center"/>
    </xf>
    <xf numFmtId="193" fontId="120" fillId="62" borderId="0" xfId="0" applyNumberFormat="1" applyFont="1" applyFill="1" applyAlignment="1">
      <alignment vertical="center"/>
    </xf>
    <xf numFmtId="4" fontId="120" fillId="62" borderId="0" xfId="0" applyNumberFormat="1" applyFont="1" applyFill="1" applyAlignment="1">
      <alignment vertical="center"/>
    </xf>
    <xf numFmtId="0" fontId="110" fillId="62" borderId="0" xfId="0" applyFont="1" applyFill="1" applyAlignment="1">
      <alignment vertical="center"/>
    </xf>
    <xf numFmtId="0" fontId="119" fillId="65" borderId="0" xfId="0" applyFont="1" applyFill="1" applyAlignment="1">
      <alignment vertical="center"/>
    </xf>
    <xf numFmtId="0" fontId="120" fillId="65" borderId="0" xfId="0" applyFont="1" applyFill="1" applyAlignment="1">
      <alignment vertical="center"/>
    </xf>
    <xf numFmtId="0" fontId="120" fillId="65" borderId="0" xfId="0" applyFont="1" applyFill="1" applyAlignment="1">
      <alignment vertical="center" wrapText="1"/>
    </xf>
    <xf numFmtId="0" fontId="0" fillId="62" borderId="0" xfId="0" applyFill="1" applyAlignment="1">
      <alignment vertical="center"/>
    </xf>
    <xf numFmtId="0" fontId="113" fillId="62" borderId="0" xfId="0" applyFont="1" applyFill="1" applyAlignment="1">
      <alignment vertical="center"/>
    </xf>
    <xf numFmtId="0" fontId="122" fillId="65" borderId="0" xfId="0" applyFont="1" applyFill="1" applyAlignment="1">
      <alignment vertical="center"/>
    </xf>
    <xf numFmtId="191" fontId="123" fillId="65" borderId="0" xfId="0" applyNumberFormat="1" applyFont="1" applyFill="1" applyAlignment="1">
      <alignment vertical="center"/>
    </xf>
    <xf numFmtId="193" fontId="123" fillId="65" borderId="0" xfId="0" applyNumberFormat="1" applyFont="1" applyFill="1" applyAlignment="1">
      <alignment vertical="center"/>
    </xf>
    <xf numFmtId="4" fontId="123" fillId="65" borderId="0" xfId="0" applyNumberFormat="1" applyFont="1" applyFill="1" applyAlignment="1">
      <alignment vertical="center"/>
    </xf>
    <xf numFmtId="0" fontId="114" fillId="62" borderId="0" xfId="0" applyFont="1" applyFill="1" applyAlignment="1">
      <alignment vertical="center"/>
    </xf>
    <xf numFmtId="0" fontId="122" fillId="62" borderId="0" xfId="0" applyFont="1" applyFill="1" applyAlignment="1">
      <alignment vertical="center"/>
    </xf>
    <xf numFmtId="192" fontId="123" fillId="63" borderId="0" xfId="0" applyNumberFormat="1" applyFont="1" applyFill="1" applyAlignment="1">
      <alignment vertical="center"/>
    </xf>
    <xf numFmtId="194" fontId="123" fillId="63" borderId="0" xfId="0" applyNumberFormat="1" applyFont="1" applyFill="1" applyAlignment="1">
      <alignment vertical="center"/>
    </xf>
    <xf numFmtId="3" fontId="123" fillId="63" borderId="0" xfId="0" applyNumberFormat="1" applyFont="1" applyFill="1" applyAlignment="1">
      <alignment vertical="center"/>
    </xf>
    <xf numFmtId="0" fontId="119" fillId="62" borderId="0" xfId="0" applyFont="1" applyFill="1" applyAlignment="1">
      <alignment vertical="center"/>
    </xf>
    <xf numFmtId="192" fontId="120" fillId="62" borderId="0" xfId="0" applyNumberFormat="1" applyFont="1" applyFill="1" applyAlignment="1">
      <alignment vertical="center"/>
    </xf>
    <xf numFmtId="0" fontId="111" fillId="62" borderId="0" xfId="0" applyFont="1" applyFill="1" applyAlignment="1">
      <alignment vertical="center"/>
    </xf>
    <xf numFmtId="0" fontId="112" fillId="62" borderId="0" xfId="0" applyFont="1" applyFill="1" applyAlignment="1">
      <alignment vertical="center"/>
    </xf>
    <xf numFmtId="0" fontId="127" fillId="62" borderId="0" xfId="0" applyFont="1" applyFill="1" applyAlignment="1">
      <alignment vertical="center"/>
    </xf>
    <xf numFmtId="0" fontId="121" fillId="62" borderId="28" xfId="0" applyFont="1" applyFill="1" applyBorder="1" applyAlignment="1">
      <alignment vertical="center" wrapText="1"/>
    </xf>
    <xf numFmtId="0" fontId="121" fillId="62" borderId="28" xfId="0" applyFont="1" applyFill="1" applyBorder="1" applyAlignment="1">
      <alignment horizontal="center" vertical="center" wrapText="1"/>
    </xf>
    <xf numFmtId="0" fontId="118" fillId="62" borderId="0" xfId="0" applyFont="1" applyFill="1" applyAlignment="1">
      <alignment vertical="center"/>
    </xf>
    <xf numFmtId="0" fontId="0" fillId="62" borderId="0" xfId="0" applyFill="1" applyAlignment="1">
      <alignment vertical="center" wrapText="1"/>
    </xf>
    <xf numFmtId="193" fontId="0" fillId="62" borderId="0" xfId="0" applyNumberFormat="1" applyFill="1" applyAlignment="1">
      <alignment vertical="center"/>
    </xf>
    <xf numFmtId="191" fontId="0" fillId="62" borderId="0" xfId="0" applyNumberFormat="1" applyFill="1" applyAlignment="1">
      <alignment vertical="center"/>
    </xf>
    <xf numFmtId="0" fontId="132" fillId="65" borderId="0" xfId="0" applyFont="1" applyFill="1" applyAlignment="1">
      <alignment horizontal="center" vertical="center"/>
    </xf>
    <xf numFmtId="193" fontId="132" fillId="65" borderId="0" xfId="0" applyNumberFormat="1" applyFont="1" applyFill="1" applyAlignment="1">
      <alignment horizontal="center" vertical="center"/>
    </xf>
    <xf numFmtId="0" fontId="120" fillId="62" borderId="28" xfId="0" applyFont="1" applyFill="1" applyBorder="1" applyAlignment="1">
      <alignment vertical="center" wrapText="1"/>
    </xf>
    <xf numFmtId="0" fontId="120" fillId="62" borderId="28" xfId="0" applyFont="1" applyFill="1" applyBorder="1" applyAlignment="1">
      <alignment horizontal="center" vertical="center"/>
    </xf>
    <xf numFmtId="191" fontId="134" fillId="62" borderId="0" xfId="0" applyNumberFormat="1" applyFont="1" applyFill="1" applyAlignment="1">
      <alignment vertical="center"/>
    </xf>
    <xf numFmtId="193" fontId="134" fillId="62" borderId="0" xfId="0" applyNumberFormat="1" applyFont="1" applyFill="1" applyAlignment="1">
      <alignment vertical="center"/>
    </xf>
    <xf numFmtId="4" fontId="134" fillId="62" borderId="0" xfId="0" applyNumberFormat="1" applyFont="1" applyFill="1" applyAlignment="1">
      <alignment vertical="center"/>
    </xf>
    <xf numFmtId="0" fontId="134" fillId="62" borderId="0" xfId="0" applyFont="1" applyFill="1" applyAlignment="1">
      <alignment vertical="center" wrapText="1"/>
    </xf>
    <xf numFmtId="4" fontId="134" fillId="62" borderId="0" xfId="0" applyNumberFormat="1" applyFont="1" applyFill="1" applyAlignment="1">
      <alignment horizontal="right" vertical="center"/>
    </xf>
    <xf numFmtId="0" fontId="134" fillId="62" borderId="0" xfId="0" applyFont="1" applyFill="1" applyAlignment="1">
      <alignment horizontal="right" vertical="center" wrapText="1"/>
    </xf>
    <xf numFmtId="191" fontId="134" fillId="62" borderId="0" xfId="0" applyNumberFormat="1" applyFont="1" applyFill="1" applyAlignment="1">
      <alignment horizontal="right" vertical="center"/>
    </xf>
    <xf numFmtId="193" fontId="134" fillId="62" borderId="0" xfId="0" applyNumberFormat="1" applyFont="1" applyFill="1" applyAlignment="1">
      <alignment horizontal="right" vertical="center"/>
    </xf>
    <xf numFmtId="0" fontId="120" fillId="62" borderId="0" xfId="0" applyFont="1" applyFill="1" applyAlignment="1">
      <alignment horizontal="right" vertical="center" wrapText="1"/>
    </xf>
    <xf numFmtId="191" fontId="120" fillId="62" borderId="0" xfId="0" applyNumberFormat="1" applyFont="1" applyFill="1" applyAlignment="1">
      <alignment horizontal="right" vertical="center"/>
    </xf>
    <xf numFmtId="193" fontId="120" fillId="62" borderId="0" xfId="0" applyNumberFormat="1" applyFont="1" applyFill="1" applyAlignment="1">
      <alignment horizontal="right" vertical="center"/>
    </xf>
    <xf numFmtId="0" fontId="0" fillId="62" borderId="0" xfId="0" applyFill="1" applyAlignment="1">
      <alignment horizontal="right" vertical="center"/>
    </xf>
    <xf numFmtId="0" fontId="130" fillId="66" borderId="0" xfId="0" applyFont="1" applyFill="1" applyAlignment="1">
      <alignment vertical="center"/>
    </xf>
    <xf numFmtId="0" fontId="120" fillId="66" borderId="0" xfId="0" applyFont="1" applyFill="1" applyAlignment="1">
      <alignment vertical="center" wrapText="1"/>
    </xf>
    <xf numFmtId="9" fontId="131" fillId="66" borderId="0" xfId="0" applyNumberFormat="1" applyFont="1" applyFill="1" applyAlignment="1">
      <alignment horizontal="right" vertical="center"/>
    </xf>
    <xf numFmtId="191" fontId="130" fillId="66" borderId="0" xfId="0" applyNumberFormat="1" applyFont="1" applyFill="1" applyAlignment="1">
      <alignment horizontal="right" vertical="center"/>
    </xf>
    <xf numFmtId="193" fontId="125" fillId="66" borderId="0" xfId="0" applyNumberFormat="1" applyFont="1" applyFill="1" applyAlignment="1">
      <alignment horizontal="right" vertical="center"/>
    </xf>
    <xf numFmtId="4" fontId="125" fillId="66" borderId="0" xfId="0" applyNumberFormat="1" applyFont="1" applyFill="1" applyAlignment="1">
      <alignment horizontal="right" vertical="center"/>
    </xf>
    <xf numFmtId="0" fontId="126" fillId="66" borderId="0" xfId="0" applyFont="1" applyFill="1" applyAlignment="1">
      <alignment vertical="center" wrapText="1"/>
    </xf>
    <xf numFmtId="191" fontId="125" fillId="66" borderId="0" xfId="0" applyNumberFormat="1" applyFont="1" applyFill="1" applyAlignment="1">
      <alignment horizontal="right" vertical="center"/>
    </xf>
    <xf numFmtId="0" fontId="125" fillId="66" borderId="0" xfId="0" applyFont="1" applyFill="1" applyAlignment="1">
      <alignment vertical="center"/>
    </xf>
    <xf numFmtId="0" fontId="126" fillId="66" borderId="0" xfId="0" applyFont="1" applyFill="1" applyAlignment="1">
      <alignment vertical="center"/>
    </xf>
    <xf numFmtId="191" fontId="125" fillId="66" borderId="0" xfId="0" applyNumberFormat="1" applyFont="1" applyFill="1" applyAlignment="1">
      <alignment vertical="center"/>
    </xf>
    <xf numFmtId="193" fontId="125" fillId="66" borderId="0" xfId="0" applyNumberFormat="1" applyFont="1" applyFill="1" applyAlignment="1">
      <alignment vertical="center"/>
    </xf>
    <xf numFmtId="4" fontId="125" fillId="66" borderId="0" xfId="0" applyNumberFormat="1" applyFont="1" applyFill="1" applyAlignment="1">
      <alignment vertical="center"/>
    </xf>
    <xf numFmtId="0" fontId="128" fillId="67" borderId="0" xfId="0" applyFont="1" applyFill="1" applyAlignment="1">
      <alignment horizontal="center" vertical="center"/>
    </xf>
    <xf numFmtId="0" fontId="128" fillId="67" borderId="0" xfId="0" applyFont="1" applyFill="1" applyAlignment="1">
      <alignment horizontal="left" vertical="center" wrapText="1"/>
    </xf>
    <xf numFmtId="0" fontId="129" fillId="67" borderId="0" xfId="0" applyFont="1" applyFill="1" applyAlignment="1">
      <alignment horizontal="left" vertical="center" wrapText="1"/>
    </xf>
    <xf numFmtId="193" fontId="129" fillId="67" borderId="0" xfId="0" applyNumberFormat="1" applyFont="1" applyFill="1" applyAlignment="1">
      <alignment horizontal="left" vertical="center" wrapText="1"/>
    </xf>
    <xf numFmtId="0" fontId="120" fillId="62" borderId="0" xfId="0" applyFont="1" applyFill="1"/>
    <xf numFmtId="0" fontId="120" fillId="62" borderId="0" xfId="0" applyFont="1" applyFill="1" applyAlignment="1">
      <alignment wrapText="1"/>
    </xf>
    <xf numFmtId="2" fontId="120" fillId="62" borderId="0" xfId="0" applyNumberFormat="1" applyFont="1" applyFill="1" applyAlignment="1">
      <alignment vertical="center"/>
    </xf>
    <xf numFmtId="191" fontId="135" fillId="62" borderId="0" xfId="0" applyNumberFormat="1" applyFont="1" applyFill="1" applyAlignment="1">
      <alignment vertical="center"/>
    </xf>
    <xf numFmtId="193" fontId="135" fillId="62" borderId="0" xfId="0" applyNumberFormat="1" applyFont="1" applyFill="1" applyAlignment="1">
      <alignment vertical="center"/>
    </xf>
    <xf numFmtId="4" fontId="135" fillId="62" borderId="0" xfId="0" applyNumberFormat="1" applyFont="1" applyFill="1" applyAlignment="1">
      <alignment vertical="center"/>
    </xf>
    <xf numFmtId="0" fontId="138" fillId="62" borderId="0" xfId="0" applyFont="1" applyFill="1" applyAlignment="1">
      <alignment vertical="center"/>
    </xf>
    <xf numFmtId="191" fontId="138" fillId="62" borderId="0" xfId="0" applyNumberFormat="1" applyFont="1" applyFill="1" applyAlignment="1">
      <alignment vertical="center"/>
    </xf>
    <xf numFmtId="0" fontId="123" fillId="62" borderId="0" xfId="0" applyFont="1" applyFill="1" applyAlignment="1">
      <alignment vertical="center"/>
    </xf>
    <xf numFmtId="0" fontId="124" fillId="62" borderId="0" xfId="0" applyFont="1" applyFill="1" applyAlignment="1">
      <alignment vertical="center" wrapText="1"/>
    </xf>
    <xf numFmtId="9" fontId="124" fillId="62" borderId="0" xfId="0" applyNumberFormat="1" applyFont="1" applyFill="1" applyAlignment="1">
      <alignment vertical="center"/>
    </xf>
    <xf numFmtId="191" fontId="123" fillId="62" borderId="0" xfId="0" applyNumberFormat="1" applyFont="1" applyFill="1" applyAlignment="1">
      <alignment vertical="center"/>
    </xf>
    <xf numFmtId="193" fontId="123" fillId="62" borderId="0" xfId="0" applyNumberFormat="1" applyFont="1" applyFill="1" applyAlignment="1">
      <alignment vertical="center"/>
    </xf>
    <xf numFmtId="0" fontId="139" fillId="62" borderId="0" xfId="0" applyFont="1" applyFill="1" applyAlignment="1">
      <alignment vertical="center"/>
    </xf>
    <xf numFmtId="0" fontId="126" fillId="62" borderId="0" xfId="0" applyFont="1" applyFill="1" applyAlignment="1">
      <alignment vertical="center"/>
    </xf>
    <xf numFmtId="0" fontId="130" fillId="62" borderId="0" xfId="0" applyFont="1" applyFill="1" applyAlignment="1">
      <alignment vertical="center"/>
    </xf>
    <xf numFmtId="9" fontId="131" fillId="62" borderId="0" xfId="0" applyNumberFormat="1" applyFont="1" applyFill="1" applyAlignment="1">
      <alignment vertical="center"/>
    </xf>
    <xf numFmtId="191" fontId="130" fillId="62" borderId="0" xfId="0" applyNumberFormat="1" applyFont="1" applyFill="1" applyAlignment="1">
      <alignment vertical="center"/>
    </xf>
    <xf numFmtId="193" fontId="125" fillId="62" borderId="0" xfId="0" applyNumberFormat="1" applyFont="1" applyFill="1" applyAlignment="1">
      <alignment vertical="center"/>
    </xf>
    <xf numFmtId="4" fontId="125" fillId="62" borderId="0" xfId="0" applyNumberFormat="1" applyFont="1" applyFill="1" applyAlignment="1">
      <alignment vertical="center"/>
    </xf>
    <xf numFmtId="3" fontId="134" fillId="62" borderId="0" xfId="0" applyNumberFormat="1" applyFont="1" applyFill="1" applyAlignment="1">
      <alignment vertical="center" wrapText="1"/>
    </xf>
    <xf numFmtId="4" fontId="134" fillId="62" borderId="0" xfId="0" applyNumberFormat="1" applyFont="1" applyFill="1" applyAlignment="1">
      <alignment vertical="center" wrapText="1"/>
    </xf>
    <xf numFmtId="191" fontId="140" fillId="62" borderId="0" xfId="0" applyNumberFormat="1" applyFont="1" applyFill="1" applyAlignment="1">
      <alignment vertical="center"/>
    </xf>
    <xf numFmtId="193" fontId="140" fillId="62" borderId="0" xfId="0" applyNumberFormat="1" applyFont="1" applyFill="1" applyAlignment="1">
      <alignment vertical="center"/>
    </xf>
    <xf numFmtId="4" fontId="140" fillId="62" borderId="0" xfId="0" applyNumberFormat="1" applyFont="1" applyFill="1" applyAlignment="1">
      <alignment vertical="center"/>
    </xf>
    <xf numFmtId="0" fontId="120" fillId="0" borderId="0" xfId="0" applyFont="1" applyFill="1" applyAlignment="1">
      <alignment vertical="center"/>
    </xf>
    <xf numFmtId="0" fontId="120" fillId="62" borderId="28" xfId="0" applyFont="1" applyFill="1" applyBorder="1" applyAlignment="1">
      <alignment vertical="center"/>
    </xf>
    <xf numFmtId="0" fontId="120" fillId="62" borderId="0" xfId="0" applyFont="1" applyFill="1" applyBorder="1" applyAlignment="1">
      <alignment vertical="center"/>
    </xf>
    <xf numFmtId="0" fontId="120" fillId="62" borderId="0" xfId="0" applyFont="1" applyFill="1" applyBorder="1" applyAlignment="1">
      <alignment horizontal="right" vertical="center"/>
    </xf>
    <xf numFmtId="0" fontId="144" fillId="62" borderId="0" xfId="0" applyFont="1" applyFill="1" applyBorder="1" applyAlignment="1">
      <alignment vertical="center"/>
    </xf>
    <xf numFmtId="0" fontId="0" fillId="62" borderId="0" xfId="0" applyFill="1" applyBorder="1"/>
    <xf numFmtId="0" fontId="145" fillId="62" borderId="28" xfId="0" applyFont="1" applyFill="1" applyBorder="1" applyAlignment="1">
      <alignment vertical="center" wrapText="1"/>
    </xf>
    <xf numFmtId="0" fontId="120" fillId="62" borderId="31" xfId="0" applyFont="1" applyFill="1" applyBorder="1" applyAlignment="1">
      <alignment vertical="center" wrapText="1"/>
    </xf>
    <xf numFmtId="0" fontId="145" fillId="62" borderId="31" xfId="0" applyFont="1" applyFill="1" applyBorder="1" applyAlignment="1">
      <alignment vertical="center" wrapText="1"/>
    </xf>
    <xf numFmtId="0" fontId="120" fillId="62" borderId="32" xfId="0" applyFont="1" applyFill="1" applyBorder="1" applyAlignment="1">
      <alignment vertical="center" wrapText="1"/>
    </xf>
    <xf numFmtId="0" fontId="145" fillId="62" borderId="32" xfId="0" applyFont="1" applyFill="1" applyBorder="1" applyAlignment="1">
      <alignment vertical="center" wrapText="1"/>
    </xf>
    <xf numFmtId="0" fontId="120" fillId="62" borderId="31" xfId="0" applyFont="1" applyFill="1" applyBorder="1" applyAlignment="1">
      <alignment vertical="center"/>
    </xf>
    <xf numFmtId="0" fontId="120" fillId="62" borderId="31" xfId="0" applyFont="1" applyFill="1" applyBorder="1" applyAlignment="1">
      <alignment horizontal="center" vertical="center"/>
    </xf>
    <xf numFmtId="0" fontId="133" fillId="62" borderId="0" xfId="0" applyFont="1" applyFill="1" applyAlignment="1">
      <alignment wrapText="1"/>
    </xf>
    <xf numFmtId="0" fontId="120" fillId="62" borderId="0" xfId="0" applyFont="1" applyFill="1" applyAlignment="1">
      <alignment horizontal="center"/>
    </xf>
    <xf numFmtId="0" fontId="145" fillId="62" borderId="0" xfId="0" applyFont="1" applyFill="1" applyAlignment="1">
      <alignment horizontal="left" wrapText="1"/>
    </xf>
    <xf numFmtId="0" fontId="146" fillId="62" borderId="0" xfId="0" applyFont="1" applyFill="1" applyAlignment="1">
      <alignment vertical="center"/>
    </xf>
    <xf numFmtId="0" fontId="147" fillId="62" borderId="0" xfId="0" applyFont="1" applyFill="1" applyAlignment="1">
      <alignment wrapText="1"/>
    </xf>
    <xf numFmtId="0" fontId="145" fillId="62" borderId="0" xfId="0" applyFont="1" applyFill="1" applyAlignment="1">
      <alignment wrapText="1"/>
    </xf>
    <xf numFmtId="0" fontId="148" fillId="62" borderId="0" xfId="0" applyFont="1" applyFill="1" applyAlignment="1">
      <alignment horizontal="left" vertical="center"/>
    </xf>
    <xf numFmtId="0" fontId="147" fillId="62" borderId="0" xfId="0" applyFont="1" applyFill="1"/>
    <xf numFmtId="0" fontId="148" fillId="62" borderId="0" xfId="0" applyFont="1" applyFill="1" applyAlignment="1">
      <alignment horizontal="center" vertical="center"/>
    </xf>
    <xf numFmtId="0" fontId="147" fillId="62" borderId="0" xfId="0" applyFont="1" applyFill="1" applyAlignment="1">
      <alignment horizontal="center"/>
    </xf>
    <xf numFmtId="0" fontId="151" fillId="62" borderId="0" xfId="0" applyFont="1" applyFill="1"/>
    <xf numFmtId="0" fontId="120" fillId="62" borderId="0" xfId="0" applyFont="1" applyFill="1" applyAlignment="1">
      <alignment horizontal="right"/>
    </xf>
    <xf numFmtId="3" fontId="147" fillId="62" borderId="0" xfId="0" applyNumberFormat="1" applyFont="1" applyFill="1" applyBorder="1" applyAlignment="1">
      <alignment horizontal="center" vertical="center"/>
    </xf>
    <xf numFmtId="4" fontId="147" fillId="62" borderId="0" xfId="0" applyNumberFormat="1" applyFont="1" applyFill="1" applyBorder="1" applyAlignment="1">
      <alignment horizontal="center" vertical="center"/>
    </xf>
    <xf numFmtId="0" fontId="156" fillId="62" borderId="0" xfId="0" applyFont="1" applyFill="1"/>
    <xf numFmtId="0" fontId="156" fillId="62" borderId="0" xfId="0" applyFont="1" applyFill="1" applyAlignment="1">
      <alignment vertical="center"/>
    </xf>
    <xf numFmtId="0" fontId="133" fillId="62" borderId="0" xfId="0" applyFont="1" applyFill="1" applyAlignment="1">
      <alignment vertical="center" wrapText="1"/>
    </xf>
    <xf numFmtId="0" fontId="119" fillId="68" borderId="0" xfId="0" applyFont="1" applyFill="1" applyAlignment="1">
      <alignment vertical="center"/>
    </xf>
    <xf numFmtId="0" fontId="120" fillId="68" borderId="0" xfId="0" applyFont="1" applyFill="1" applyAlignment="1">
      <alignment vertical="center"/>
    </xf>
    <xf numFmtId="0" fontId="120" fillId="68" borderId="0" xfId="0" applyFont="1" applyFill="1" applyAlignment="1">
      <alignment vertical="center" wrapText="1"/>
    </xf>
    <xf numFmtId="0" fontId="136" fillId="68" borderId="0" xfId="0" applyFont="1" applyFill="1" applyAlignment="1">
      <alignment horizontal="center" vertical="center"/>
    </xf>
    <xf numFmtId="193" fontId="136" fillId="68" borderId="0" xfId="0" applyNumberFormat="1" applyFont="1" applyFill="1" applyAlignment="1">
      <alignment horizontal="center" vertical="center"/>
    </xf>
    <xf numFmtId="0" fontId="122" fillId="68" borderId="0" xfId="0" applyFont="1" applyFill="1" applyAlignment="1">
      <alignment vertical="center"/>
    </xf>
    <xf numFmtId="9" fontId="124" fillId="68" borderId="0" xfId="0" applyNumberFormat="1" applyFont="1" applyFill="1" applyAlignment="1">
      <alignment vertical="center"/>
    </xf>
    <xf numFmtId="192" fontId="137" fillId="68" borderId="0" xfId="0" applyNumberFormat="1" applyFont="1" applyFill="1" applyAlignment="1">
      <alignment vertical="center"/>
    </xf>
    <xf numFmtId="194" fontId="137" fillId="68" borderId="0" xfId="0" applyNumberFormat="1" applyFont="1" applyFill="1" applyAlignment="1">
      <alignment vertical="center"/>
    </xf>
    <xf numFmtId="3" fontId="137" fillId="68" borderId="0" xfId="0" applyNumberFormat="1" applyFont="1" applyFill="1" applyAlignment="1">
      <alignment vertical="center"/>
    </xf>
    <xf numFmtId="0" fontId="125" fillId="70" borderId="0" xfId="0" applyFont="1" applyFill="1" applyAlignment="1">
      <alignment vertical="center"/>
    </xf>
    <xf numFmtId="0" fontId="126" fillId="70" borderId="0" xfId="0" applyFont="1" applyFill="1" applyAlignment="1">
      <alignment vertical="center" wrapText="1"/>
    </xf>
    <xf numFmtId="0" fontId="126" fillId="70" borderId="0" xfId="0" applyFont="1" applyFill="1" applyAlignment="1">
      <alignment vertical="center"/>
    </xf>
    <xf numFmtId="191" fontId="125" fillId="70" borderId="0" xfId="0" applyNumberFormat="1" applyFont="1" applyFill="1" applyAlignment="1">
      <alignment vertical="center"/>
    </xf>
    <xf numFmtId="193" fontId="125" fillId="70" borderId="0" xfId="0" applyNumberFormat="1" applyFont="1" applyFill="1" applyAlignment="1">
      <alignment vertical="center"/>
    </xf>
    <xf numFmtId="4" fontId="125" fillId="70" borderId="0" xfId="0" applyNumberFormat="1" applyFont="1" applyFill="1" applyAlignment="1">
      <alignment vertical="center"/>
    </xf>
    <xf numFmtId="0" fontId="137" fillId="71" borderId="0" xfId="0" applyFont="1" applyFill="1" applyBorder="1" applyAlignment="1">
      <alignment vertical="center"/>
    </xf>
    <xf numFmtId="0" fontId="120" fillId="71" borderId="0" xfId="0" applyFont="1" applyFill="1" applyBorder="1" applyAlignment="1">
      <alignment vertical="center"/>
    </xf>
    <xf numFmtId="0" fontId="141" fillId="70" borderId="0" xfId="0" applyFont="1" applyFill="1" applyBorder="1" applyAlignment="1">
      <alignment vertical="center"/>
    </xf>
    <xf numFmtId="0" fontId="142" fillId="70" borderId="0" xfId="0" applyFont="1" applyFill="1" applyBorder="1" applyAlignment="1">
      <alignment vertical="center"/>
    </xf>
    <xf numFmtId="0" fontId="135" fillId="72" borderId="0" xfId="0" applyFont="1" applyFill="1" applyBorder="1" applyAlignment="1">
      <alignment horizontal="right" vertical="center"/>
    </xf>
    <xf numFmtId="0" fontId="143" fillId="72" borderId="0" xfId="0" applyFont="1" applyFill="1" applyBorder="1" applyAlignment="1">
      <alignment horizontal="right" vertical="center"/>
    </xf>
    <xf numFmtId="0" fontId="135" fillId="72" borderId="0" xfId="0" applyFont="1" applyFill="1" applyBorder="1" applyAlignment="1">
      <alignment vertical="center"/>
    </xf>
    <xf numFmtId="9" fontId="135" fillId="72" borderId="28" xfId="8146" applyFont="1" applyFill="1" applyBorder="1" applyAlignment="1">
      <alignment vertical="center"/>
    </xf>
    <xf numFmtId="10" fontId="135" fillId="72" borderId="31" xfId="8146" applyNumberFormat="1" applyFont="1" applyFill="1" applyBorder="1" applyAlignment="1">
      <alignment vertical="center"/>
    </xf>
    <xf numFmtId="0" fontId="143" fillId="72" borderId="31" xfId="0" applyFont="1" applyFill="1" applyBorder="1" applyAlignment="1">
      <alignment vertical="center"/>
    </xf>
    <xf numFmtId="9" fontId="135" fillId="72" borderId="32" xfId="8146" applyFont="1" applyFill="1" applyBorder="1" applyAlignment="1">
      <alignment vertical="center"/>
    </xf>
    <xf numFmtId="0" fontId="135" fillId="72" borderId="28" xfId="0" applyFont="1" applyFill="1" applyBorder="1" applyAlignment="1">
      <alignment vertical="center"/>
    </xf>
    <xf numFmtId="0" fontId="135" fillId="72" borderId="31" xfId="0" applyFont="1" applyFill="1" applyBorder="1" applyAlignment="1">
      <alignment vertical="center"/>
    </xf>
    <xf numFmtId="0" fontId="144" fillId="74" borderId="0" xfId="0" applyFont="1" applyFill="1" applyBorder="1" applyAlignment="1">
      <alignment vertical="center"/>
    </xf>
    <xf numFmtId="0" fontId="144" fillId="74" borderId="0" xfId="0" applyFont="1" applyFill="1" applyBorder="1" applyAlignment="1">
      <alignment vertical="center" wrapText="1"/>
    </xf>
    <xf numFmtId="0" fontId="123" fillId="71" borderId="0" xfId="0" applyFont="1" applyFill="1" applyAlignment="1">
      <alignment vertical="center"/>
    </xf>
    <xf numFmtId="0" fontId="161" fillId="71" borderId="30" xfId="0" applyFont="1" applyFill="1" applyBorder="1" applyAlignment="1">
      <alignment horizontal="center" vertical="center" wrapText="1"/>
    </xf>
    <xf numFmtId="0" fontId="161" fillId="71" borderId="29" xfId="0" applyFont="1" applyFill="1" applyBorder="1" applyAlignment="1">
      <alignment horizontal="center" vertical="center" wrapText="1"/>
    </xf>
    <xf numFmtId="4" fontId="151" fillId="70" borderId="30" xfId="0" applyNumberFormat="1" applyFont="1" applyFill="1" applyBorder="1" applyAlignment="1">
      <alignment horizontal="center"/>
    </xf>
    <xf numFmtId="0" fontId="151" fillId="62" borderId="0" xfId="0" applyFont="1" applyFill="1" applyAlignment="1">
      <alignment vertical="center"/>
    </xf>
    <xf numFmtId="0" fontId="149" fillId="71" borderId="30" xfId="0" applyFont="1" applyFill="1" applyBorder="1" applyAlignment="1">
      <alignment horizontal="center" vertical="center" wrapText="1"/>
    </xf>
    <xf numFmtId="197" fontId="134" fillId="62" borderId="30" xfId="0" applyNumberFormat="1" applyFont="1" applyFill="1" applyBorder="1" applyAlignment="1">
      <alignment horizontal="right" vertical="center"/>
    </xf>
    <xf numFmtId="193" fontId="134" fillId="62" borderId="30" xfId="0" applyNumberFormat="1" applyFont="1" applyFill="1" applyBorder="1" applyAlignment="1">
      <alignment horizontal="right" vertical="center"/>
    </xf>
    <xf numFmtId="198" fontId="151" fillId="70" borderId="30" xfId="0" applyNumberFormat="1" applyFont="1" applyFill="1" applyBorder="1" applyAlignment="1">
      <alignment horizontal="center"/>
    </xf>
    <xf numFmtId="198" fontId="147" fillId="73" borderId="30" xfId="0" applyNumberFormat="1" applyFont="1" applyFill="1" applyBorder="1" applyAlignment="1">
      <alignment horizontal="center"/>
    </xf>
    <xf numFmtId="198" fontId="147" fillId="62" borderId="30" xfId="0" applyNumberFormat="1" applyFont="1" applyFill="1" applyBorder="1" applyAlignment="1">
      <alignment horizontal="center" vertical="center"/>
    </xf>
    <xf numFmtId="198" fontId="158" fillId="62" borderId="30" xfId="0" applyNumberFormat="1" applyFont="1" applyFill="1" applyBorder="1" applyAlignment="1">
      <alignment horizontal="center" vertical="center"/>
    </xf>
    <xf numFmtId="193" fontId="151" fillId="70" borderId="30" xfId="0" applyNumberFormat="1" applyFont="1" applyFill="1" applyBorder="1" applyAlignment="1">
      <alignment horizontal="center"/>
    </xf>
    <xf numFmtId="193" fontId="147" fillId="73" borderId="30" xfId="0" applyNumberFormat="1" applyFont="1" applyFill="1" applyBorder="1" applyAlignment="1">
      <alignment horizontal="center"/>
    </xf>
    <xf numFmtId="193" fontId="147" fillId="62" borderId="30" xfId="0" applyNumberFormat="1" applyFont="1" applyFill="1" applyBorder="1" applyAlignment="1">
      <alignment horizontal="center" vertical="center"/>
    </xf>
    <xf numFmtId="193" fontId="158" fillId="62" borderId="30" xfId="0" applyNumberFormat="1" applyFont="1" applyFill="1" applyBorder="1" applyAlignment="1">
      <alignment horizontal="center" vertical="center"/>
    </xf>
    <xf numFmtId="0" fontId="167" fillId="70" borderId="0" xfId="0" applyFont="1" applyFill="1" applyAlignment="1">
      <alignment vertical="center"/>
    </xf>
    <xf numFmtId="0" fontId="168" fillId="62" borderId="31" xfId="0" applyFont="1" applyFill="1" applyBorder="1" applyAlignment="1">
      <alignment vertical="center"/>
    </xf>
    <xf numFmtId="9" fontId="171" fillId="68" borderId="0" xfId="0" applyNumberFormat="1" applyFont="1" applyFill="1" applyAlignment="1">
      <alignment vertical="center"/>
    </xf>
    <xf numFmtId="0" fontId="137" fillId="65" borderId="0" xfId="0" applyFont="1" applyFill="1" applyAlignment="1">
      <alignment vertical="center"/>
    </xf>
    <xf numFmtId="0" fontId="123" fillId="68" borderId="0" xfId="0" applyFont="1" applyFill="1" applyAlignment="1">
      <alignment vertical="center"/>
    </xf>
    <xf numFmtId="0" fontId="169" fillId="71" borderId="33" xfId="0" applyFont="1" applyFill="1" applyBorder="1" applyAlignment="1">
      <alignment horizontal="center" vertical="center" wrapText="1"/>
    </xf>
    <xf numFmtId="0" fontId="163" fillId="71" borderId="34" xfId="0" applyFont="1" applyFill="1" applyBorder="1" applyAlignment="1">
      <alignment horizontal="left" vertical="center" wrapText="1"/>
    </xf>
    <xf numFmtId="0" fontId="164" fillId="71" borderId="34" xfId="0" applyFont="1" applyFill="1" applyBorder="1" applyAlignment="1">
      <alignment horizontal="center" vertical="center" wrapText="1"/>
    </xf>
    <xf numFmtId="0" fontId="163" fillId="71" borderId="34" xfId="0" applyFont="1" applyFill="1" applyBorder="1" applyAlignment="1">
      <alignment horizontal="center" vertical="center" wrapText="1"/>
    </xf>
    <xf numFmtId="0" fontId="163" fillId="71" borderId="35" xfId="0" applyFont="1" applyFill="1" applyBorder="1" applyAlignment="1">
      <alignment horizontal="center" vertical="center" wrapText="1"/>
    </xf>
    <xf numFmtId="0" fontId="149" fillId="71" borderId="36" xfId="0" applyFont="1" applyFill="1" applyBorder="1" applyAlignment="1">
      <alignment horizontal="left" vertical="center" wrapText="1"/>
    </xf>
    <xf numFmtId="0" fontId="149" fillId="71" borderId="0" xfId="0" applyFont="1" applyFill="1" applyBorder="1" applyAlignment="1">
      <alignment horizontal="left" vertical="center" wrapText="1"/>
    </xf>
    <xf numFmtId="0" fontId="150" fillId="71" borderId="0" xfId="0" applyFont="1" applyFill="1" applyBorder="1" applyAlignment="1">
      <alignment horizontal="left" vertical="center" wrapText="1"/>
    </xf>
    <xf numFmtId="0" fontId="149" fillId="71" borderId="0" xfId="0" applyFont="1" applyFill="1" applyBorder="1" applyAlignment="1">
      <alignment horizontal="center" vertical="center" wrapText="1"/>
    </xf>
    <xf numFmtId="0" fontId="149" fillId="71" borderId="37" xfId="0" applyFont="1" applyFill="1" applyBorder="1" applyAlignment="1">
      <alignment horizontal="center" vertical="center" wrapText="1"/>
    </xf>
    <xf numFmtId="0" fontId="128" fillId="70" borderId="36" xfId="0" applyFont="1" applyFill="1" applyBorder="1" applyAlignment="1">
      <alignment horizontal="center" vertical="center"/>
    </xf>
    <xf numFmtId="0" fontId="128" fillId="70" borderId="0" xfId="0" applyFont="1" applyFill="1" applyBorder="1" applyAlignment="1">
      <alignment horizontal="left" vertical="center"/>
    </xf>
    <xf numFmtId="0" fontId="129" fillId="70" borderId="0" xfId="0" applyFont="1" applyFill="1" applyBorder="1" applyAlignment="1">
      <alignment horizontal="left" vertical="center" wrapText="1"/>
    </xf>
    <xf numFmtId="0" fontId="151" fillId="70" borderId="0" xfId="0" applyFont="1" applyFill="1" applyBorder="1" applyAlignment="1">
      <alignment vertical="center"/>
    </xf>
    <xf numFmtId="0" fontId="151" fillId="70" borderId="0" xfId="0" applyFont="1" applyFill="1" applyBorder="1" applyAlignment="1">
      <alignment horizontal="left" vertical="center"/>
    </xf>
    <xf numFmtId="0" fontId="151" fillId="70" borderId="0" xfId="0" applyFont="1" applyFill="1" applyBorder="1" applyAlignment="1">
      <alignment horizontal="center" vertical="center"/>
    </xf>
    <xf numFmtId="4" fontId="151" fillId="70" borderId="0" xfId="0" applyNumberFormat="1" applyFont="1" applyFill="1" applyBorder="1" applyAlignment="1">
      <alignment horizontal="center" vertical="center"/>
    </xf>
    <xf numFmtId="197" fontId="151" fillId="70" borderId="0" xfId="0" applyNumberFormat="1" applyFont="1" applyFill="1" applyBorder="1" applyAlignment="1">
      <alignment horizontal="right" vertical="center"/>
    </xf>
    <xf numFmtId="193" fontId="151" fillId="70" borderId="0" xfId="0" applyNumberFormat="1" applyFont="1" applyFill="1" applyBorder="1" applyAlignment="1">
      <alignment horizontal="right" vertical="center"/>
    </xf>
    <xf numFmtId="4" fontId="151" fillId="70" borderId="37" xfId="0" applyNumberFormat="1" applyFont="1" applyFill="1" applyBorder="1" applyAlignment="1">
      <alignment horizontal="right" vertical="center"/>
    </xf>
    <xf numFmtId="0" fontId="153" fillId="69" borderId="36" xfId="0" applyFont="1" applyFill="1" applyBorder="1" applyAlignment="1">
      <alignment horizontal="left" vertical="center"/>
    </xf>
    <xf numFmtId="0" fontId="170" fillId="69" borderId="0" xfId="0" applyFont="1" applyFill="1" applyBorder="1" applyAlignment="1">
      <alignment horizontal="left" vertical="center"/>
    </xf>
    <xf numFmtId="0" fontId="154" fillId="69" borderId="0" xfId="0" applyFont="1" applyFill="1" applyBorder="1" applyAlignment="1">
      <alignment horizontal="left" vertical="center"/>
    </xf>
    <xf numFmtId="0" fontId="147" fillId="69" borderId="0" xfId="0" applyFont="1" applyFill="1" applyBorder="1" applyAlignment="1">
      <alignment vertical="center"/>
    </xf>
    <xf numFmtId="0" fontId="147" fillId="69" borderId="0" xfId="0" applyFont="1" applyFill="1" applyBorder="1" applyAlignment="1">
      <alignment horizontal="left" vertical="center"/>
    </xf>
    <xf numFmtId="0" fontId="134" fillId="69" borderId="0" xfId="0" applyFont="1" applyFill="1" applyBorder="1" applyAlignment="1">
      <alignment horizontal="right" vertical="center"/>
    </xf>
    <xf numFmtId="0" fontId="147" fillId="69" borderId="0" xfId="0" applyFont="1" applyFill="1" applyBorder="1" applyAlignment="1">
      <alignment horizontal="center" vertical="center"/>
    </xf>
    <xf numFmtId="4" fontId="134" fillId="69" borderId="0" xfId="0" applyNumberFormat="1" applyFont="1" applyFill="1" applyBorder="1" applyAlignment="1">
      <alignment horizontal="right" vertical="center"/>
    </xf>
    <xf numFmtId="197" fontId="134" fillId="69" borderId="0" xfId="0" applyNumberFormat="1" applyFont="1" applyFill="1" applyBorder="1" applyAlignment="1">
      <alignment horizontal="right" vertical="center"/>
    </xf>
    <xf numFmtId="193" fontId="134" fillId="69" borderId="0" xfId="0" applyNumberFormat="1" applyFont="1" applyFill="1" applyBorder="1" applyAlignment="1">
      <alignment horizontal="right" vertical="center"/>
    </xf>
    <xf numFmtId="4" fontId="134" fillId="69" borderId="37" xfId="0" applyNumberFormat="1" applyFont="1" applyFill="1" applyBorder="1" applyAlignment="1">
      <alignment horizontal="right" vertical="center"/>
    </xf>
    <xf numFmtId="0" fontId="120" fillId="62" borderId="36" xfId="0" quotePrefix="1" applyFont="1" applyFill="1" applyBorder="1" applyAlignment="1">
      <alignment vertical="center" wrapText="1"/>
    </xf>
    <xf numFmtId="4" fontId="134" fillId="62" borderId="0" xfId="0" applyNumberFormat="1" applyFont="1" applyFill="1" applyBorder="1" applyAlignment="1">
      <alignment horizontal="right" vertical="center"/>
    </xf>
    <xf numFmtId="4" fontId="134" fillId="62" borderId="37" xfId="0" applyNumberFormat="1" applyFont="1" applyFill="1" applyBorder="1" applyAlignment="1">
      <alignment horizontal="right" vertical="center"/>
    </xf>
    <xf numFmtId="0" fontId="120" fillId="62" borderId="36" xfId="0" applyFont="1" applyFill="1" applyBorder="1" applyAlignment="1">
      <alignment vertical="center" wrapText="1"/>
    </xf>
    <xf numFmtId="0" fontId="153" fillId="69" borderId="36" xfId="0" quotePrefix="1" applyFont="1" applyFill="1" applyBorder="1" applyAlignment="1">
      <alignment horizontal="left" vertical="center"/>
    </xf>
    <xf numFmtId="14" fontId="120" fillId="62" borderId="36" xfId="0" quotePrefix="1" applyNumberFormat="1" applyFont="1" applyFill="1" applyBorder="1" applyAlignment="1">
      <alignment vertical="center" wrapText="1"/>
    </xf>
    <xf numFmtId="0" fontId="120" fillId="62" borderId="38" xfId="0" applyFont="1" applyFill="1" applyBorder="1" applyAlignment="1">
      <alignment vertical="center" wrapText="1"/>
    </xf>
    <xf numFmtId="0" fontId="161" fillId="71" borderId="33" xfId="0" applyFont="1" applyFill="1" applyBorder="1" applyAlignment="1">
      <alignment horizontal="center" vertical="center" wrapText="1"/>
    </xf>
    <xf numFmtId="0" fontId="161" fillId="71" borderId="34" xfId="0" applyFont="1" applyFill="1" applyBorder="1" applyAlignment="1">
      <alignment horizontal="center" vertical="center" wrapText="1"/>
    </xf>
    <xf numFmtId="0" fontId="162" fillId="71" borderId="34" xfId="0" applyFont="1" applyFill="1" applyBorder="1" applyAlignment="1">
      <alignment horizontal="center" vertical="center" wrapText="1"/>
    </xf>
    <xf numFmtId="0" fontId="161" fillId="71" borderId="41" xfId="0" applyFont="1" applyFill="1" applyBorder="1" applyAlignment="1">
      <alignment horizontal="center" vertical="center" wrapText="1"/>
    </xf>
    <xf numFmtId="0" fontId="161" fillId="71" borderId="42" xfId="0" applyFont="1" applyFill="1" applyBorder="1" applyAlignment="1">
      <alignment horizontal="center" vertical="center" wrapText="1"/>
    </xf>
    <xf numFmtId="0" fontId="161" fillId="71" borderId="43" xfId="0" applyFont="1" applyFill="1" applyBorder="1" applyAlignment="1">
      <alignment horizontal="center" vertical="center" wrapText="1"/>
    </xf>
    <xf numFmtId="0" fontId="161" fillId="71" borderId="36" xfId="0" applyFont="1" applyFill="1" applyBorder="1" applyAlignment="1">
      <alignment horizontal="center" vertical="center" wrapText="1"/>
    </xf>
    <xf numFmtId="0" fontId="161" fillId="71" borderId="0" xfId="0" applyFont="1" applyFill="1" applyBorder="1" applyAlignment="1">
      <alignment horizontal="center" vertical="center" wrapText="1"/>
    </xf>
    <xf numFmtId="0" fontId="162" fillId="71" borderId="0" xfId="0" applyFont="1" applyFill="1" applyBorder="1" applyAlignment="1">
      <alignment horizontal="center" vertical="center" wrapText="1"/>
    </xf>
    <xf numFmtId="0" fontId="161" fillId="71" borderId="44" xfId="0" applyFont="1" applyFill="1" applyBorder="1" applyAlignment="1">
      <alignment horizontal="center" vertical="center" wrapText="1"/>
    </xf>
    <xf numFmtId="4" fontId="151" fillId="70" borderId="0" xfId="0" applyNumberFormat="1" applyFont="1" applyFill="1" applyBorder="1" applyAlignment="1">
      <alignment horizontal="center"/>
    </xf>
    <xf numFmtId="4" fontId="151" fillId="70" borderId="44" xfId="0" applyNumberFormat="1" applyFont="1" applyFill="1" applyBorder="1" applyAlignment="1">
      <alignment horizontal="center"/>
    </xf>
    <xf numFmtId="0" fontId="153" fillId="73" borderId="36" xfId="0" applyFont="1" applyFill="1" applyBorder="1" applyAlignment="1">
      <alignment horizontal="center" vertical="center"/>
    </xf>
    <xf numFmtId="4" fontId="147" fillId="73" borderId="0" xfId="0" applyNumberFormat="1" applyFont="1" applyFill="1" applyBorder="1" applyAlignment="1">
      <alignment horizontal="center"/>
    </xf>
    <xf numFmtId="4" fontId="147" fillId="73" borderId="44" xfId="0" applyNumberFormat="1" applyFont="1" applyFill="1" applyBorder="1" applyAlignment="1">
      <alignment horizontal="center"/>
    </xf>
    <xf numFmtId="0" fontId="153" fillId="62" borderId="36" xfId="0" applyFont="1" applyFill="1" applyBorder="1" applyAlignment="1">
      <alignment horizontal="center" vertical="center" wrapText="1"/>
    </xf>
    <xf numFmtId="4" fontId="147" fillId="0" borderId="0" xfId="0" applyNumberFormat="1" applyFont="1" applyFill="1" applyBorder="1" applyAlignment="1">
      <alignment horizontal="center" vertical="center"/>
    </xf>
    <xf numFmtId="4" fontId="147" fillId="62" borderId="44" xfId="0" applyNumberFormat="1" applyFont="1" applyFill="1" applyBorder="1" applyAlignment="1">
      <alignment horizontal="center" vertical="center"/>
    </xf>
    <xf numFmtId="0" fontId="156" fillId="62" borderId="36" xfId="0" applyFont="1" applyFill="1" applyBorder="1" applyAlignment="1">
      <alignment horizontal="center"/>
    </xf>
    <xf numFmtId="0" fontId="120" fillId="62" borderId="36" xfId="0" applyFont="1" applyFill="1" applyBorder="1" applyAlignment="1">
      <alignment horizontal="center" wrapText="1"/>
    </xf>
    <xf numFmtId="0" fontId="160" fillId="62" borderId="36" xfId="0" applyFont="1" applyFill="1" applyBorder="1" applyAlignment="1">
      <alignment horizontal="center" vertical="center" wrapText="1"/>
    </xf>
    <xf numFmtId="3" fontId="158" fillId="62" borderId="0" xfId="0" applyNumberFormat="1" applyFont="1" applyFill="1" applyBorder="1" applyAlignment="1">
      <alignment horizontal="center" vertical="center"/>
    </xf>
    <xf numFmtId="4" fontId="158" fillId="62" borderId="0" xfId="0" applyNumberFormat="1" applyFont="1" applyFill="1" applyBorder="1" applyAlignment="1">
      <alignment horizontal="center" vertical="center"/>
    </xf>
    <xf numFmtId="0" fontId="128" fillId="70" borderId="38" xfId="0" applyFont="1" applyFill="1" applyBorder="1" applyAlignment="1">
      <alignment horizontal="center" vertical="center"/>
    </xf>
    <xf numFmtId="4" fontId="151" fillId="70" borderId="39" xfId="0" applyNumberFormat="1" applyFont="1" applyFill="1" applyBorder="1" applyAlignment="1">
      <alignment horizontal="center"/>
    </xf>
    <xf numFmtId="198" fontId="151" fillId="70" borderId="40" xfId="0" applyNumberFormat="1" applyFont="1" applyFill="1" applyBorder="1" applyAlignment="1">
      <alignment horizontal="center"/>
    </xf>
    <xf numFmtId="193" fontId="151" fillId="70" borderId="40" xfId="0" applyNumberFormat="1" applyFont="1" applyFill="1" applyBorder="1" applyAlignment="1">
      <alignment horizontal="center"/>
    </xf>
    <xf numFmtId="4" fontId="151" fillId="70" borderId="46" xfId="0" applyNumberFormat="1" applyFont="1" applyFill="1" applyBorder="1" applyAlignment="1">
      <alignment horizontal="center"/>
    </xf>
    <xf numFmtId="198" fontId="172" fillId="62" borderId="0" xfId="0" applyNumberFormat="1" applyFont="1" applyFill="1" applyAlignment="1">
      <alignment vertical="center"/>
    </xf>
    <xf numFmtId="198" fontId="126" fillId="62" borderId="0" xfId="0" applyNumberFormat="1" applyFont="1" applyFill="1" applyAlignment="1">
      <alignment vertical="center"/>
    </xf>
    <xf numFmtId="198" fontId="151" fillId="62" borderId="0" xfId="0" applyNumberFormat="1" applyFont="1" applyFill="1"/>
    <xf numFmtId="191" fontId="126" fillId="62" borderId="0" xfId="0" applyNumberFormat="1" applyFont="1" applyFill="1" applyAlignment="1">
      <alignment vertical="center"/>
    </xf>
    <xf numFmtId="0" fontId="173" fillId="62" borderId="0" xfId="0" applyFont="1" applyFill="1" applyAlignment="1">
      <alignment vertical="center"/>
    </xf>
    <xf numFmtId="0" fontId="128" fillId="70" borderId="0" xfId="0" applyFont="1" applyFill="1" applyBorder="1" applyAlignment="1" applyProtection="1">
      <alignment horizontal="left" vertical="center"/>
      <protection locked="0"/>
    </xf>
    <xf numFmtId="0" fontId="129" fillId="70" borderId="0" xfId="0" applyFont="1" applyFill="1" applyBorder="1" applyAlignment="1" applyProtection="1">
      <alignment horizontal="left" vertical="center" wrapText="1"/>
      <protection locked="0"/>
    </xf>
    <xf numFmtId="0" fontId="151" fillId="70" borderId="0" xfId="0" applyFont="1" applyFill="1" applyBorder="1" applyProtection="1">
      <protection locked="0"/>
    </xf>
    <xf numFmtId="0" fontId="151" fillId="70" borderId="0" xfId="0" applyFont="1" applyFill="1" applyBorder="1" applyAlignment="1" applyProtection="1">
      <alignment horizontal="left"/>
      <protection locked="0"/>
    </xf>
    <xf numFmtId="0" fontId="153" fillId="73" borderId="0" xfId="0" applyFont="1" applyFill="1" applyBorder="1" applyAlignment="1" applyProtection="1">
      <alignment horizontal="left" vertical="center"/>
      <protection locked="0"/>
    </xf>
    <xf numFmtId="0" fontId="154" fillId="73" borderId="0" xfId="0" applyFont="1" applyFill="1" applyBorder="1" applyAlignment="1" applyProtection="1">
      <alignment horizontal="left" vertical="center"/>
      <protection locked="0"/>
    </xf>
    <xf numFmtId="0" fontId="147" fillId="73" borderId="0" xfId="0" applyFont="1" applyFill="1" applyBorder="1" applyAlignment="1" applyProtection="1">
      <protection locked="0"/>
    </xf>
    <xf numFmtId="0" fontId="147" fillId="73" borderId="0" xfId="0" applyFont="1" applyFill="1" applyBorder="1" applyAlignment="1" applyProtection="1">
      <alignment horizontal="left"/>
      <protection locked="0"/>
    </xf>
    <xf numFmtId="0" fontId="153" fillId="62" borderId="0" xfId="0" applyFont="1" applyFill="1" applyBorder="1" applyAlignment="1" applyProtection="1">
      <alignment horizontal="left" vertical="center" wrapText="1"/>
      <protection locked="0"/>
    </xf>
    <xf numFmtId="0" fontId="133" fillId="62" borderId="0" xfId="0" applyFont="1" applyFill="1" applyBorder="1" applyAlignment="1" applyProtection="1">
      <alignment wrapText="1"/>
      <protection locked="0"/>
    </xf>
    <xf numFmtId="0" fontId="147" fillId="72" borderId="0" xfId="0" applyFont="1" applyFill="1" applyBorder="1" applyAlignment="1" applyProtection="1">
      <alignment horizontal="center" vertical="center"/>
      <protection locked="0"/>
    </xf>
    <xf numFmtId="0" fontId="147" fillId="62" borderId="0" xfId="0" applyFont="1" applyFill="1" applyBorder="1" applyAlignment="1" applyProtection="1">
      <alignment horizontal="left" vertical="center"/>
      <protection locked="0"/>
    </xf>
    <xf numFmtId="0" fontId="147" fillId="62" borderId="0" xfId="0" applyFont="1" applyFill="1" applyBorder="1" applyAlignment="1" applyProtection="1">
      <alignment horizontal="center" vertical="center"/>
      <protection locked="0"/>
    </xf>
    <xf numFmtId="0" fontId="155" fillId="62" borderId="0" xfId="0" applyFont="1" applyFill="1" applyBorder="1" applyAlignment="1" applyProtection="1">
      <alignment horizontal="left" vertical="center" wrapText="1"/>
      <protection locked="0"/>
    </xf>
    <xf numFmtId="9" fontId="147" fillId="72" borderId="0" xfId="0" applyNumberFormat="1" applyFont="1" applyFill="1" applyBorder="1" applyAlignment="1" applyProtection="1">
      <alignment horizontal="center" vertical="center"/>
      <protection locked="0"/>
    </xf>
    <xf numFmtId="0" fontId="157" fillId="62" borderId="0" xfId="0" applyFont="1" applyFill="1" applyBorder="1" applyAlignment="1" applyProtection="1">
      <alignment horizontal="left" vertical="center" wrapText="1"/>
      <protection locked="0"/>
    </xf>
    <xf numFmtId="0" fontId="158" fillId="62" borderId="0" xfId="0" applyFont="1" applyFill="1" applyBorder="1" applyAlignment="1" applyProtection="1">
      <alignment horizontal="left" vertical="center"/>
      <protection locked="0"/>
    </xf>
    <xf numFmtId="0" fontId="158" fillId="72" borderId="0" xfId="0" applyFont="1" applyFill="1" applyBorder="1" applyAlignment="1" applyProtection="1">
      <alignment horizontal="center" vertical="center"/>
      <protection locked="0"/>
    </xf>
    <xf numFmtId="0" fontId="166" fillId="62" borderId="0" xfId="0" applyFont="1" applyFill="1" applyBorder="1" applyAlignment="1" applyProtection="1">
      <alignment wrapText="1"/>
      <protection locked="0"/>
    </xf>
    <xf numFmtId="9" fontId="147" fillId="72" borderId="0" xfId="8146" applyFont="1" applyFill="1" applyBorder="1" applyAlignment="1" applyProtection="1">
      <alignment horizontal="center" vertical="center"/>
      <protection locked="0"/>
    </xf>
    <xf numFmtId="0" fontId="151" fillId="70" borderId="0" xfId="0" applyFont="1" applyFill="1" applyBorder="1" applyAlignment="1" applyProtection="1">
      <alignment horizontal="center"/>
      <protection locked="0"/>
    </xf>
    <xf numFmtId="9" fontId="147" fillId="0" borderId="0" xfId="0" applyNumberFormat="1" applyFont="1" applyFill="1" applyBorder="1" applyAlignment="1" applyProtection="1">
      <alignment horizontal="center" vertical="center"/>
      <protection locked="0"/>
    </xf>
    <xf numFmtId="10" fontId="158" fillId="62" borderId="0" xfId="8146" applyNumberFormat="1" applyFont="1" applyFill="1" applyBorder="1" applyAlignment="1" applyProtection="1">
      <alignment horizontal="center" vertical="center"/>
      <protection locked="0"/>
    </xf>
    <xf numFmtId="196" fontId="158" fillId="62" borderId="0" xfId="8146" applyNumberFormat="1" applyFont="1" applyFill="1" applyBorder="1" applyAlignment="1" applyProtection="1">
      <alignment horizontal="center" vertical="center"/>
      <protection locked="0"/>
    </xf>
    <xf numFmtId="0" fontId="145" fillId="62" borderId="0" xfId="0" applyFont="1" applyFill="1" applyBorder="1" applyAlignment="1" applyProtection="1">
      <alignment horizontal="left" vertical="center" wrapText="1"/>
      <protection locked="0"/>
    </xf>
    <xf numFmtId="0" fontId="128" fillId="70" borderId="39" xfId="0" applyFont="1" applyFill="1" applyBorder="1" applyAlignment="1" applyProtection="1">
      <alignment horizontal="left" vertical="center"/>
      <protection locked="0"/>
    </xf>
    <xf numFmtId="0" fontId="129" fillId="70" borderId="39" xfId="0" applyFont="1" applyFill="1" applyBorder="1" applyAlignment="1" applyProtection="1">
      <alignment horizontal="left" vertical="center" wrapText="1"/>
      <protection locked="0"/>
    </xf>
    <xf numFmtId="0" fontId="151" fillId="70" borderId="39" xfId="0" applyFont="1" applyFill="1" applyBorder="1" applyProtection="1">
      <protection locked="0"/>
    </xf>
    <xf numFmtId="0" fontId="151" fillId="70" borderId="39" xfId="0" applyFont="1" applyFill="1" applyBorder="1" applyAlignment="1" applyProtection="1">
      <alignment horizontal="left"/>
      <protection locked="0"/>
    </xf>
    <xf numFmtId="9" fontId="151" fillId="70" borderId="39" xfId="0" applyNumberFormat="1" applyFont="1" applyFill="1" applyBorder="1" applyAlignment="1" applyProtection="1">
      <alignment horizontal="center"/>
      <protection locked="0"/>
    </xf>
    <xf numFmtId="0" fontId="151" fillId="70" borderId="39" xfId="0" applyFont="1" applyFill="1" applyBorder="1" applyAlignment="1" applyProtection="1">
      <alignment horizontal="center"/>
      <protection locked="0"/>
    </xf>
    <xf numFmtId="0" fontId="151" fillId="70" borderId="29" xfId="0" applyFont="1" applyFill="1" applyBorder="1" applyAlignment="1" applyProtection="1">
      <alignment wrapText="1"/>
      <protection locked="0"/>
    </xf>
    <xf numFmtId="0" fontId="152" fillId="70" borderId="0" xfId="0" applyFont="1" applyFill="1" applyBorder="1" applyAlignment="1" applyProtection="1">
      <alignment horizontal="left" wrapText="1"/>
      <protection locked="0"/>
    </xf>
    <xf numFmtId="0" fontId="147" fillId="73" borderId="29" xfId="0" applyFont="1" applyFill="1" applyBorder="1" applyAlignment="1" applyProtection="1">
      <alignment wrapText="1"/>
      <protection locked="0"/>
    </xf>
    <xf numFmtId="0" fontId="147" fillId="73" borderId="0" xfId="0" applyFont="1" applyFill="1" applyBorder="1" applyAlignment="1" applyProtection="1">
      <alignment horizontal="center"/>
      <protection locked="0"/>
    </xf>
    <xf numFmtId="0" fontId="145" fillId="73" borderId="0" xfId="0" applyFont="1" applyFill="1" applyBorder="1" applyAlignment="1" applyProtection="1">
      <alignment horizontal="left" wrapText="1"/>
      <protection locked="0"/>
    </xf>
    <xf numFmtId="0" fontId="147" fillId="62" borderId="29" xfId="0" applyFont="1" applyFill="1" applyBorder="1" applyAlignment="1" applyProtection="1">
      <alignment vertical="center" wrapText="1"/>
      <protection locked="0"/>
    </xf>
    <xf numFmtId="9" fontId="145" fillId="62" borderId="0" xfId="0" applyNumberFormat="1" applyFont="1" applyFill="1" applyBorder="1" applyAlignment="1" applyProtection="1">
      <alignment horizontal="left" vertical="center" wrapText="1"/>
      <protection locked="0"/>
    </xf>
    <xf numFmtId="0" fontId="159" fillId="62" borderId="0" xfId="0" applyFont="1" applyFill="1" applyBorder="1" applyAlignment="1" applyProtection="1">
      <alignment horizontal="left" vertical="center" wrapText="1"/>
      <protection locked="0"/>
    </xf>
    <xf numFmtId="9" fontId="147" fillId="62" borderId="0" xfId="0" applyNumberFormat="1" applyFont="1" applyFill="1" applyBorder="1" applyAlignment="1" applyProtection="1">
      <alignment horizontal="center" vertical="center"/>
      <protection locked="0"/>
    </xf>
    <xf numFmtId="0" fontId="158" fillId="62" borderId="29" xfId="0" applyFont="1" applyFill="1" applyBorder="1" applyAlignment="1" applyProtection="1">
      <alignment vertical="center" wrapText="1"/>
      <protection locked="0"/>
    </xf>
    <xf numFmtId="10" fontId="158" fillId="62" borderId="0" xfId="0" applyNumberFormat="1" applyFont="1" applyFill="1" applyBorder="1" applyAlignment="1" applyProtection="1">
      <alignment horizontal="center" vertical="center"/>
      <protection locked="0"/>
    </xf>
    <xf numFmtId="10" fontId="157" fillId="62" borderId="0" xfId="0" applyNumberFormat="1" applyFont="1" applyFill="1" applyBorder="1" applyAlignment="1" applyProtection="1">
      <alignment horizontal="left" vertical="center" wrapText="1"/>
      <protection locked="0"/>
    </xf>
    <xf numFmtId="0" fontId="158" fillId="62" borderId="0" xfId="0" applyFont="1" applyFill="1" applyBorder="1" applyAlignment="1" applyProtection="1">
      <alignment horizontal="center" vertical="center"/>
      <protection locked="0"/>
    </xf>
    <xf numFmtId="0" fontId="147" fillId="0" borderId="29" xfId="0" applyFont="1" applyFill="1" applyBorder="1" applyAlignment="1" applyProtection="1">
      <alignment vertical="center" wrapText="1"/>
      <protection locked="0"/>
    </xf>
    <xf numFmtId="0" fontId="151" fillId="70" borderId="45" xfId="0" applyFont="1" applyFill="1" applyBorder="1" applyAlignment="1" applyProtection="1">
      <alignment wrapText="1"/>
      <protection locked="0"/>
    </xf>
    <xf numFmtId="0" fontId="152" fillId="70" borderId="39" xfId="0" applyFont="1" applyFill="1" applyBorder="1" applyAlignment="1" applyProtection="1">
      <alignment horizontal="left" wrapText="1"/>
      <protection locked="0"/>
    </xf>
    <xf numFmtId="0" fontId="120" fillId="62" borderId="0" xfId="0" applyFont="1" applyFill="1" applyBorder="1" applyAlignment="1" applyProtection="1">
      <alignment vertical="center" wrapText="1"/>
      <protection locked="0"/>
    </xf>
    <xf numFmtId="0" fontId="133" fillId="62" borderId="0" xfId="0" applyFont="1" applyFill="1" applyBorder="1" applyAlignment="1" applyProtection="1">
      <alignment vertical="center" wrapText="1"/>
      <protection locked="0"/>
    </xf>
    <xf numFmtId="3" fontId="134" fillId="72" borderId="0" xfId="0" applyNumberFormat="1" applyFont="1" applyFill="1" applyBorder="1" applyAlignment="1" applyProtection="1">
      <alignment horizontal="right" vertical="center"/>
      <protection locked="0"/>
    </xf>
    <xf numFmtId="9" fontId="166" fillId="62" borderId="0" xfId="0" applyNumberFormat="1" applyFont="1" applyFill="1" applyBorder="1" applyAlignment="1" applyProtection="1">
      <alignment horizontal="center" vertical="center"/>
      <protection locked="0"/>
    </xf>
    <xf numFmtId="4" fontId="134" fillId="72" borderId="0" xfId="0" applyNumberFormat="1" applyFont="1" applyFill="1" applyBorder="1" applyAlignment="1" applyProtection="1">
      <alignment horizontal="right" vertical="center"/>
      <protection locked="0"/>
    </xf>
    <xf numFmtId="0" fontId="166" fillId="62" borderId="0" xfId="0" applyFont="1" applyFill="1" applyBorder="1" applyAlignment="1" applyProtection="1">
      <alignment horizontal="left" vertical="center"/>
      <protection locked="0"/>
    </xf>
    <xf numFmtId="4" fontId="134" fillId="62" borderId="0" xfId="0" applyNumberFormat="1" applyFont="1" applyFill="1" applyBorder="1" applyAlignment="1" applyProtection="1">
      <alignment horizontal="right" vertical="center"/>
      <protection locked="0"/>
    </xf>
    <xf numFmtId="3" fontId="134" fillId="62" borderId="0" xfId="0" applyNumberFormat="1" applyFont="1" applyFill="1" applyBorder="1" applyAlignment="1" applyProtection="1">
      <alignment horizontal="right" vertical="center"/>
      <protection locked="0"/>
    </xf>
    <xf numFmtId="0" fontId="153" fillId="69" borderId="0" xfId="0" applyFont="1" applyFill="1" applyBorder="1" applyAlignment="1" applyProtection="1">
      <alignment horizontal="left" vertical="center"/>
      <protection locked="0"/>
    </xf>
    <xf numFmtId="0" fontId="154" fillId="69" borderId="0" xfId="0" applyFont="1" applyFill="1" applyBorder="1" applyAlignment="1" applyProtection="1">
      <alignment horizontal="left" vertical="center"/>
      <protection locked="0"/>
    </xf>
    <xf numFmtId="0" fontId="147" fillId="69" borderId="0" xfId="0" applyFont="1" applyFill="1" applyBorder="1" applyAlignment="1" applyProtection="1">
      <alignment vertical="center"/>
      <protection locked="0"/>
    </xf>
    <xf numFmtId="0" fontId="147" fillId="69" borderId="0" xfId="0" applyFont="1" applyFill="1" applyBorder="1" applyAlignment="1" applyProtection="1">
      <alignment horizontal="left" vertical="center"/>
      <protection locked="0"/>
    </xf>
    <xf numFmtId="0" fontId="134" fillId="69" borderId="0" xfId="0" applyFont="1" applyFill="1" applyBorder="1" applyAlignment="1" applyProtection="1">
      <alignment horizontal="right" vertical="center"/>
      <protection locked="0"/>
    </xf>
    <xf numFmtId="0" fontId="147" fillId="69" borderId="0" xfId="0" applyFont="1" applyFill="1" applyBorder="1" applyAlignment="1" applyProtection="1">
      <alignment horizontal="center" vertical="center"/>
      <protection locked="0"/>
    </xf>
    <xf numFmtId="0" fontId="120" fillId="62" borderId="0" xfId="0" applyFont="1" applyFill="1" applyBorder="1" applyAlignment="1" applyProtection="1">
      <alignment vertical="center"/>
      <protection locked="0"/>
    </xf>
    <xf numFmtId="0" fontId="120" fillId="62" borderId="0" xfId="0" applyFont="1" applyFill="1" applyBorder="1" applyAlignment="1" applyProtection="1">
      <alignment horizontal="center" vertical="center"/>
      <protection locked="0"/>
    </xf>
    <xf numFmtId="0" fontId="120" fillId="62" borderId="39" xfId="0" applyFont="1" applyFill="1" applyBorder="1" applyAlignment="1" applyProtection="1">
      <alignment vertical="center" wrapText="1"/>
      <protection locked="0"/>
    </xf>
    <xf numFmtId="0" fontId="133" fillId="62" borderId="39" xfId="0" applyFont="1" applyFill="1" applyBorder="1" applyAlignment="1" applyProtection="1">
      <alignment vertical="center" wrapText="1"/>
      <protection locked="0"/>
    </xf>
    <xf numFmtId="0" fontId="147" fillId="72" borderId="39" xfId="0" applyFont="1" applyFill="1" applyBorder="1" applyAlignment="1" applyProtection="1">
      <alignment horizontal="center" vertical="center"/>
      <protection locked="0"/>
    </xf>
    <xf numFmtId="0" fontId="120" fillId="62" borderId="39" xfId="0" applyFont="1" applyFill="1" applyBorder="1" applyAlignment="1" applyProtection="1">
      <alignment vertical="center"/>
      <protection locked="0"/>
    </xf>
    <xf numFmtId="3" fontId="134" fillId="72" borderId="39" xfId="0" applyNumberFormat="1" applyFont="1" applyFill="1" applyBorder="1" applyAlignment="1" applyProtection="1">
      <alignment horizontal="right" vertical="center"/>
      <protection locked="0"/>
    </xf>
    <xf numFmtId="0" fontId="120" fillId="62" borderId="39" xfId="0" applyFont="1" applyFill="1" applyBorder="1" applyAlignment="1" applyProtection="1">
      <alignment horizontal="center" vertical="center"/>
      <protection locked="0"/>
    </xf>
    <xf numFmtId="0" fontId="156" fillId="72" borderId="31" xfId="0" applyFont="1" applyFill="1" applyBorder="1" applyAlignment="1">
      <alignment vertical="center"/>
    </xf>
    <xf numFmtId="0" fontId="135" fillId="62" borderId="31" xfId="0" applyFont="1" applyFill="1" applyBorder="1" applyAlignment="1">
      <alignment vertical="center" wrapText="1"/>
    </xf>
    <xf numFmtId="0" fontId="173" fillId="62" borderId="31" xfId="0" applyFont="1" applyFill="1" applyBorder="1" applyAlignment="1">
      <alignment vertical="center" wrapText="1"/>
    </xf>
    <xf numFmtId="192" fontId="138" fillId="62" borderId="0" xfId="0" applyNumberFormat="1" applyFont="1" applyFill="1" applyAlignment="1">
      <alignment vertical="center"/>
    </xf>
    <xf numFmtId="0" fontId="128" fillId="67" borderId="0" xfId="0" applyFont="1" applyFill="1" applyAlignment="1">
      <alignment vertical="center" wrapText="1"/>
    </xf>
    <xf numFmtId="191" fontId="129" fillId="67" borderId="0" xfId="0" applyNumberFormat="1" applyFont="1" applyFill="1" applyAlignment="1">
      <alignment horizontal="left" vertical="center" wrapText="1"/>
    </xf>
    <xf numFmtId="4" fontId="129" fillId="67" borderId="0" xfId="0" applyNumberFormat="1" applyFont="1" applyFill="1" applyAlignment="1">
      <alignment horizontal="left" vertical="center" wrapText="1"/>
    </xf>
    <xf numFmtId="0" fontId="141" fillId="68" borderId="0" xfId="0" applyFont="1" applyFill="1" applyAlignment="1">
      <alignment vertical="center" wrapText="1"/>
    </xf>
    <xf numFmtId="0" fontId="178" fillId="68" borderId="0" xfId="0" applyFont="1" applyFill="1" applyAlignment="1">
      <alignment horizontal="right" vertical="center" wrapText="1"/>
    </xf>
    <xf numFmtId="191" fontId="179" fillId="68" borderId="0" xfId="0" applyNumberFormat="1" applyFont="1" applyFill="1" applyAlignment="1">
      <alignment horizontal="right" vertical="center"/>
    </xf>
    <xf numFmtId="193" fontId="179" fillId="68" borderId="0" xfId="0" applyNumberFormat="1" applyFont="1" applyFill="1" applyAlignment="1">
      <alignment horizontal="right" vertical="center"/>
    </xf>
    <xf numFmtId="4" fontId="179" fillId="68" borderId="0" xfId="0" applyNumberFormat="1" applyFont="1" applyFill="1" applyAlignment="1">
      <alignment horizontal="right" vertical="center"/>
    </xf>
    <xf numFmtId="199" fontId="0" fillId="62" borderId="0" xfId="0" applyNumberFormat="1" applyFill="1" applyAlignment="1">
      <alignment vertical="center"/>
    </xf>
    <xf numFmtId="0" fontId="145" fillId="62" borderId="0" xfId="0" applyFont="1" applyFill="1" applyBorder="1" applyAlignment="1" applyProtection="1">
      <alignment wrapText="1"/>
      <protection locked="0"/>
    </xf>
    <xf numFmtId="17" fontId="153" fillId="73" borderId="36" xfId="0" quotePrefix="1" applyNumberFormat="1" applyFont="1" applyFill="1" applyBorder="1" applyAlignment="1">
      <alignment horizontal="center" vertical="center"/>
    </xf>
    <xf numFmtId="191" fontId="112" fillId="62" borderId="0" xfId="0" applyNumberFormat="1" applyFont="1" applyFill="1" applyAlignment="1">
      <alignment vertical="center"/>
    </xf>
    <xf numFmtId="0" fontId="163" fillId="65" borderId="0" xfId="0" applyFont="1" applyFill="1" applyAlignment="1">
      <alignment horizontal="left" vertical="center"/>
    </xf>
    <xf numFmtId="0" fontId="163" fillId="65" borderId="0" xfId="0" applyFont="1" applyFill="1" applyAlignment="1">
      <alignment horizontal="left" vertical="center" wrapText="1"/>
    </xf>
    <xf numFmtId="191" fontId="163" fillId="65" borderId="0" xfId="0" applyNumberFormat="1" applyFont="1" applyFill="1" applyAlignment="1">
      <alignment vertical="center"/>
    </xf>
    <xf numFmtId="193" fontId="163" fillId="65" borderId="0" xfId="0" applyNumberFormat="1" applyFont="1" applyFill="1" applyAlignment="1">
      <alignment vertical="center"/>
    </xf>
    <xf numFmtId="0" fontId="180" fillId="65" borderId="0" xfId="0" applyFont="1" applyFill="1" applyAlignment="1">
      <alignment vertical="center" wrapText="1"/>
    </xf>
    <xf numFmtId="9" fontId="180" fillId="65" borderId="0" xfId="0" applyNumberFormat="1" applyFont="1" applyFill="1" applyAlignment="1">
      <alignment vertical="center"/>
    </xf>
    <xf numFmtId="0" fontId="181" fillId="62" borderId="0" xfId="0" applyFont="1" applyFill="1" applyAlignment="1">
      <alignment vertical="center"/>
    </xf>
    <xf numFmtId="191" fontId="181" fillId="62" borderId="0" xfId="0" applyNumberFormat="1" applyFont="1" applyFill="1" applyAlignment="1">
      <alignment vertical="center"/>
    </xf>
    <xf numFmtId="195" fontId="181" fillId="62" borderId="0" xfId="8147" applyNumberFormat="1" applyFont="1" applyFill="1" applyAlignment="1">
      <alignment vertical="center"/>
    </xf>
    <xf numFmtId="191" fontId="156" fillId="62" borderId="0" xfId="0" applyNumberFormat="1" applyFont="1" applyFill="1" applyAlignment="1">
      <alignment vertical="center"/>
    </xf>
    <xf numFmtId="165" fontId="134" fillId="62" borderId="0" xfId="8147" applyFont="1" applyFill="1" applyAlignment="1">
      <alignment vertical="center" wrapText="1"/>
    </xf>
    <xf numFmtId="200" fontId="181" fillId="62" borderId="0" xfId="0" applyNumberFormat="1" applyFont="1" applyFill="1" applyAlignment="1">
      <alignment vertical="center"/>
    </xf>
    <xf numFmtId="201" fontId="120" fillId="62" borderId="0" xfId="0" applyNumberFormat="1" applyFont="1" applyFill="1"/>
    <xf numFmtId="165" fontId="135" fillId="72" borderId="28" xfId="8147" applyFont="1" applyFill="1" applyBorder="1" applyAlignment="1">
      <alignment vertical="center"/>
    </xf>
    <xf numFmtId="0" fontId="142" fillId="62" borderId="0" xfId="0" applyFont="1" applyFill="1" applyAlignment="1">
      <alignment vertical="center"/>
    </xf>
    <xf numFmtId="0" fontId="161" fillId="62" borderId="0" xfId="0" applyFont="1" applyFill="1" applyAlignment="1">
      <alignment vertical="center"/>
    </xf>
    <xf numFmtId="0" fontId="182" fillId="62" borderId="0" xfId="0" applyFont="1" applyFill="1" applyAlignment="1">
      <alignment vertical="center" wrapText="1"/>
    </xf>
    <xf numFmtId="0" fontId="183" fillId="62" borderId="0" xfId="0" applyFont="1" applyFill="1" applyAlignment="1">
      <alignment vertical="center" wrapText="1"/>
    </xf>
    <xf numFmtId="0" fontId="149" fillId="62" borderId="0" xfId="0" applyFont="1" applyFill="1" applyAlignment="1">
      <alignment horizontal="left" vertical="center"/>
    </xf>
    <xf numFmtId="0" fontId="182" fillId="62" borderId="0" xfId="0" applyFont="1" applyFill="1" applyAlignment="1">
      <alignment vertical="center"/>
    </xf>
    <xf numFmtId="0" fontId="173" fillId="0" borderId="31" xfId="0" applyFont="1" applyFill="1" applyBorder="1" applyAlignment="1">
      <alignment vertical="center" wrapText="1"/>
    </xf>
    <xf numFmtId="202" fontId="163" fillId="65" borderId="0" xfId="0" applyNumberFormat="1" applyFont="1" applyFill="1" applyAlignment="1">
      <alignment vertical="center"/>
    </xf>
    <xf numFmtId="44" fontId="163" fillId="65" borderId="0" xfId="0" applyNumberFormat="1" applyFont="1" applyFill="1" applyAlignment="1">
      <alignment vertical="center"/>
    </xf>
    <xf numFmtId="0" fontId="165" fillId="65" borderId="0" xfId="0" applyFont="1" applyFill="1" applyAlignment="1">
      <alignment horizontal="left" vertical="center" wrapText="1"/>
    </xf>
    <xf numFmtId="0" fontId="174" fillId="66" borderId="0" xfId="0" applyFont="1" applyFill="1" applyAlignment="1">
      <alignment horizontal="left" vertical="center" wrapText="1"/>
    </xf>
    <xf numFmtId="0" fontId="123" fillId="63" borderId="0" xfId="0" applyFont="1" applyFill="1" applyAlignment="1">
      <alignment horizontal="left" vertical="center" wrapText="1"/>
    </xf>
    <xf numFmtId="0" fontId="121" fillId="62" borderId="28" xfId="0" applyFont="1" applyFill="1" applyBorder="1" applyAlignment="1">
      <alignment horizontal="center" vertical="center"/>
    </xf>
    <xf numFmtId="0" fontId="167" fillId="70" borderId="0" xfId="0" applyFont="1" applyFill="1" applyAlignment="1">
      <alignment horizontal="left" vertical="center" wrapText="1"/>
    </xf>
  </cellXfs>
  <cellStyles count="8148">
    <cellStyle name="_TB_Calc_number" xfId="1" xr:uid="{00000000-0005-0000-0000-000000000000}"/>
    <cellStyle name="_TB_Calc_percent" xfId="2" xr:uid="{00000000-0005-0000-0000-000001000000}"/>
    <cellStyle name="_TB_def_number" xfId="3" xr:uid="{00000000-0005-0000-0000-000002000000}"/>
    <cellStyle name="_TB_def_percent" xfId="4" xr:uid="{00000000-0005-0000-0000-000003000000}"/>
    <cellStyle name="_TB_subtitle2" xfId="5" xr:uid="{00000000-0005-0000-0000-000004000000}"/>
    <cellStyle name="20% - Accent1" xfId="6" xr:uid="{00000000-0005-0000-0000-000005000000}"/>
    <cellStyle name="20% - Accent1 2" xfId="7" xr:uid="{00000000-0005-0000-0000-000006000000}"/>
    <cellStyle name="20% - Accent1 2 10" xfId="8" xr:uid="{00000000-0005-0000-0000-000007000000}"/>
    <cellStyle name="20% - Accent1 2 10 2" xfId="5049" xr:uid="{00000000-0005-0000-0000-000008000000}"/>
    <cellStyle name="20% - Accent1 2 10 3" xfId="5050" xr:uid="{00000000-0005-0000-0000-000009000000}"/>
    <cellStyle name="20% - Accent1 2 10 4" xfId="5051" xr:uid="{00000000-0005-0000-0000-00000A000000}"/>
    <cellStyle name="20% - Accent1 2 11" xfId="5052" xr:uid="{00000000-0005-0000-0000-00000B000000}"/>
    <cellStyle name="20% - Accent1 2 11 2" xfId="5053" xr:uid="{00000000-0005-0000-0000-00000C000000}"/>
    <cellStyle name="20% - Accent1 2 11 3" xfId="5054" xr:uid="{00000000-0005-0000-0000-00000D000000}"/>
    <cellStyle name="20% - Accent1 2 12" xfId="5055" xr:uid="{00000000-0005-0000-0000-00000E000000}"/>
    <cellStyle name="20% - Accent1 2 12 2" xfId="5056" xr:uid="{00000000-0005-0000-0000-00000F000000}"/>
    <cellStyle name="20% - Accent1 2 12 3" xfId="5057" xr:uid="{00000000-0005-0000-0000-000010000000}"/>
    <cellStyle name="20% - Accent1 2 13" xfId="5058" xr:uid="{00000000-0005-0000-0000-000011000000}"/>
    <cellStyle name="20% - Accent1 2 13 2" xfId="5059" xr:uid="{00000000-0005-0000-0000-000012000000}"/>
    <cellStyle name="20% - Accent1 2 13 3" xfId="5060" xr:uid="{00000000-0005-0000-0000-000013000000}"/>
    <cellStyle name="20% - Accent1 2 14" xfId="5061" xr:uid="{00000000-0005-0000-0000-000014000000}"/>
    <cellStyle name="20% - Accent1 2 14 2" xfId="5062" xr:uid="{00000000-0005-0000-0000-000015000000}"/>
    <cellStyle name="20% - Accent1 2 14 3" xfId="5063" xr:uid="{00000000-0005-0000-0000-000016000000}"/>
    <cellStyle name="20% - Accent1 2 15" xfId="5064" xr:uid="{00000000-0005-0000-0000-000017000000}"/>
    <cellStyle name="20% - Accent1 2 15 2" xfId="5065" xr:uid="{00000000-0005-0000-0000-000018000000}"/>
    <cellStyle name="20% - Accent1 2 15 3" xfId="5066" xr:uid="{00000000-0005-0000-0000-000019000000}"/>
    <cellStyle name="20% - Accent1 2 16" xfId="5067" xr:uid="{00000000-0005-0000-0000-00001A000000}"/>
    <cellStyle name="20% - Accent1 2 16 2" xfId="5068" xr:uid="{00000000-0005-0000-0000-00001B000000}"/>
    <cellStyle name="20% - Accent1 2 16 3" xfId="5069" xr:uid="{00000000-0005-0000-0000-00001C000000}"/>
    <cellStyle name="20% - Accent1 2 17" xfId="5070" xr:uid="{00000000-0005-0000-0000-00001D000000}"/>
    <cellStyle name="20% - Accent1 2 17 2" xfId="5071" xr:uid="{00000000-0005-0000-0000-00001E000000}"/>
    <cellStyle name="20% - Accent1 2 17 3" xfId="5072" xr:uid="{00000000-0005-0000-0000-00001F000000}"/>
    <cellStyle name="20% - Accent1 2 18" xfId="5073" xr:uid="{00000000-0005-0000-0000-000020000000}"/>
    <cellStyle name="20% - Accent1 2 18 2" xfId="5074" xr:uid="{00000000-0005-0000-0000-000021000000}"/>
    <cellStyle name="20% - Accent1 2 18 3" xfId="5075" xr:uid="{00000000-0005-0000-0000-000022000000}"/>
    <cellStyle name="20% - Accent1 2 19" xfId="5076" xr:uid="{00000000-0005-0000-0000-000023000000}"/>
    <cellStyle name="20% - Accent1 2 2" xfId="9" xr:uid="{00000000-0005-0000-0000-000024000000}"/>
    <cellStyle name="20% - Accent1 2 2 2" xfId="5077" xr:uid="{00000000-0005-0000-0000-000025000000}"/>
    <cellStyle name="20% - Accent1 2 2 3" xfId="5078" xr:uid="{00000000-0005-0000-0000-000026000000}"/>
    <cellStyle name="20% - Accent1 2 20" xfId="5079" xr:uid="{00000000-0005-0000-0000-000027000000}"/>
    <cellStyle name="20% - Accent1 2 21" xfId="5080" xr:uid="{00000000-0005-0000-0000-000028000000}"/>
    <cellStyle name="20% - Accent1 2 22" xfId="5081" xr:uid="{00000000-0005-0000-0000-000029000000}"/>
    <cellStyle name="20% - Accent1 2 23" xfId="5082" xr:uid="{00000000-0005-0000-0000-00002A000000}"/>
    <cellStyle name="20% - Accent1 2 24" xfId="5083" xr:uid="{00000000-0005-0000-0000-00002B000000}"/>
    <cellStyle name="20% - Accent1 2 25" xfId="5084" xr:uid="{00000000-0005-0000-0000-00002C000000}"/>
    <cellStyle name="20% - Accent1 2 26" xfId="5085" xr:uid="{00000000-0005-0000-0000-00002D000000}"/>
    <cellStyle name="20% - Accent1 2 27" xfId="5086" xr:uid="{00000000-0005-0000-0000-00002E000000}"/>
    <cellStyle name="20% - Accent1 2 28" xfId="5087" xr:uid="{00000000-0005-0000-0000-00002F000000}"/>
    <cellStyle name="20% - Accent1 2 3" xfId="10" xr:uid="{00000000-0005-0000-0000-000030000000}"/>
    <cellStyle name="20% - Accent1 2 3 10" xfId="5088" xr:uid="{00000000-0005-0000-0000-000031000000}"/>
    <cellStyle name="20% - Accent1 2 3 2" xfId="11" xr:uid="{00000000-0005-0000-0000-000032000000}"/>
    <cellStyle name="20% - Accent1 2 3 2 2" xfId="5089" xr:uid="{00000000-0005-0000-0000-000033000000}"/>
    <cellStyle name="20% - Accent1 2 3 3" xfId="12" xr:uid="{00000000-0005-0000-0000-000034000000}"/>
    <cellStyle name="20% - Accent1 2 3 3 2" xfId="5090" xr:uid="{00000000-0005-0000-0000-000035000000}"/>
    <cellStyle name="20% - Accent1 2 3 4" xfId="13" xr:uid="{00000000-0005-0000-0000-000036000000}"/>
    <cellStyle name="20% - Accent1 2 3 4 2" xfId="5091" xr:uid="{00000000-0005-0000-0000-000037000000}"/>
    <cellStyle name="20% - Accent1 2 3 5" xfId="14" xr:uid="{00000000-0005-0000-0000-000038000000}"/>
    <cellStyle name="20% - Accent1 2 3 5 2" xfId="5092" xr:uid="{00000000-0005-0000-0000-000039000000}"/>
    <cellStyle name="20% - Accent1 2 3 6" xfId="15" xr:uid="{00000000-0005-0000-0000-00003A000000}"/>
    <cellStyle name="20% - Accent1 2 3 6 2" xfId="5093" xr:uid="{00000000-0005-0000-0000-00003B000000}"/>
    <cellStyle name="20% - Accent1 2 3 7" xfId="16" xr:uid="{00000000-0005-0000-0000-00003C000000}"/>
    <cellStyle name="20% - Accent1 2 3 7 2" xfId="5094" xr:uid="{00000000-0005-0000-0000-00003D000000}"/>
    <cellStyle name="20% - Accent1 2 3 8" xfId="17" xr:uid="{00000000-0005-0000-0000-00003E000000}"/>
    <cellStyle name="20% - Accent1 2 3 8 2" xfId="5095" xr:uid="{00000000-0005-0000-0000-00003F000000}"/>
    <cellStyle name="20% - Accent1 2 3 9" xfId="5096" xr:uid="{00000000-0005-0000-0000-000040000000}"/>
    <cellStyle name="20% - Accent1 2 4" xfId="18" xr:uid="{00000000-0005-0000-0000-000041000000}"/>
    <cellStyle name="20% - Accent1 2 4 10" xfId="5097" xr:uid="{00000000-0005-0000-0000-000042000000}"/>
    <cellStyle name="20% - Accent1 2 4 11" xfId="5098" xr:uid="{00000000-0005-0000-0000-000043000000}"/>
    <cellStyle name="20% - Accent1 2 4 2" xfId="5099" xr:uid="{00000000-0005-0000-0000-000044000000}"/>
    <cellStyle name="20% - Accent1 2 4 2 2" xfId="5100" xr:uid="{00000000-0005-0000-0000-000045000000}"/>
    <cellStyle name="20% - Accent1 2 4 3" xfId="5101" xr:uid="{00000000-0005-0000-0000-000046000000}"/>
    <cellStyle name="20% - Accent1 2 4 4" xfId="5102" xr:uid="{00000000-0005-0000-0000-000047000000}"/>
    <cellStyle name="20% - Accent1 2 4 5" xfId="5103" xr:uid="{00000000-0005-0000-0000-000048000000}"/>
    <cellStyle name="20% - Accent1 2 4 6" xfId="5104" xr:uid="{00000000-0005-0000-0000-000049000000}"/>
    <cellStyle name="20% - Accent1 2 4 7" xfId="5105" xr:uid="{00000000-0005-0000-0000-00004A000000}"/>
    <cellStyle name="20% - Accent1 2 4 8" xfId="5106" xr:uid="{00000000-0005-0000-0000-00004B000000}"/>
    <cellStyle name="20% - Accent1 2 4 9" xfId="5107" xr:uid="{00000000-0005-0000-0000-00004C000000}"/>
    <cellStyle name="20% - Accent1 2 5" xfId="19" xr:uid="{00000000-0005-0000-0000-00004D000000}"/>
    <cellStyle name="20% - Accent1 2 5 10" xfId="5108" xr:uid="{00000000-0005-0000-0000-00004E000000}"/>
    <cellStyle name="20% - Accent1 2 5 11" xfId="5109" xr:uid="{00000000-0005-0000-0000-00004F000000}"/>
    <cellStyle name="20% - Accent1 2 5 2" xfId="5110" xr:uid="{00000000-0005-0000-0000-000050000000}"/>
    <cellStyle name="20% - Accent1 2 5 2 2" xfId="5111" xr:uid="{00000000-0005-0000-0000-000051000000}"/>
    <cellStyle name="20% - Accent1 2 5 3" xfId="5112" xr:uid="{00000000-0005-0000-0000-000052000000}"/>
    <cellStyle name="20% - Accent1 2 5 4" xfId="5113" xr:uid="{00000000-0005-0000-0000-000053000000}"/>
    <cellStyle name="20% - Accent1 2 5 5" xfId="5114" xr:uid="{00000000-0005-0000-0000-000054000000}"/>
    <cellStyle name="20% - Accent1 2 5 6" xfId="5115" xr:uid="{00000000-0005-0000-0000-000055000000}"/>
    <cellStyle name="20% - Accent1 2 5 7" xfId="5116" xr:uid="{00000000-0005-0000-0000-000056000000}"/>
    <cellStyle name="20% - Accent1 2 5 8" xfId="5117" xr:uid="{00000000-0005-0000-0000-000057000000}"/>
    <cellStyle name="20% - Accent1 2 5 9" xfId="5118" xr:uid="{00000000-0005-0000-0000-000058000000}"/>
    <cellStyle name="20% - Accent1 2 6" xfId="20" xr:uid="{00000000-0005-0000-0000-000059000000}"/>
    <cellStyle name="20% - Accent1 2 6 2" xfId="5119" xr:uid="{00000000-0005-0000-0000-00005A000000}"/>
    <cellStyle name="20% - Accent1 2 6 3" xfId="5120" xr:uid="{00000000-0005-0000-0000-00005B000000}"/>
    <cellStyle name="20% - Accent1 2 7" xfId="21" xr:uid="{00000000-0005-0000-0000-00005C000000}"/>
    <cellStyle name="20% - Accent1 2 7 2" xfId="5121" xr:uid="{00000000-0005-0000-0000-00005D000000}"/>
    <cellStyle name="20% - Accent1 2 7 3" xfId="5122" xr:uid="{00000000-0005-0000-0000-00005E000000}"/>
    <cellStyle name="20% - Accent1 2 8" xfId="22" xr:uid="{00000000-0005-0000-0000-00005F000000}"/>
    <cellStyle name="20% - Accent1 2 8 2" xfId="5123" xr:uid="{00000000-0005-0000-0000-000060000000}"/>
    <cellStyle name="20% - Accent1 2 8 3" xfId="5124" xr:uid="{00000000-0005-0000-0000-000061000000}"/>
    <cellStyle name="20% - Accent1 2 9" xfId="23" xr:uid="{00000000-0005-0000-0000-000062000000}"/>
    <cellStyle name="20% - Accent1 2 9 2" xfId="5125" xr:uid="{00000000-0005-0000-0000-000063000000}"/>
    <cellStyle name="20% - Accent1 2 9 3" xfId="5126" xr:uid="{00000000-0005-0000-0000-000064000000}"/>
    <cellStyle name="20% - Accent1 2_Blood_21months_EURO" xfId="24" xr:uid="{00000000-0005-0000-0000-000065000000}"/>
    <cellStyle name="20% - Accent1 3" xfId="25" xr:uid="{00000000-0005-0000-0000-000066000000}"/>
    <cellStyle name="20% - Accent1 3 2" xfId="26" xr:uid="{00000000-0005-0000-0000-000067000000}"/>
    <cellStyle name="20% - Accent1 3 2 2" xfId="5127" xr:uid="{00000000-0005-0000-0000-000068000000}"/>
    <cellStyle name="20% - Accent1 3 2 3" xfId="5128" xr:uid="{00000000-0005-0000-0000-000069000000}"/>
    <cellStyle name="20% - Accent1 3 3" xfId="5129" xr:uid="{00000000-0005-0000-0000-00006A000000}"/>
    <cellStyle name="20% - Accent1 3 4" xfId="5130" xr:uid="{00000000-0005-0000-0000-00006B000000}"/>
    <cellStyle name="20% - Accent1 3_Budget incorporated 2011-2012 last101011" xfId="27" xr:uid="{00000000-0005-0000-0000-00006C000000}"/>
    <cellStyle name="20% - Accent1 4" xfId="28" xr:uid="{00000000-0005-0000-0000-00006D000000}"/>
    <cellStyle name="20% - Accent1 4 2" xfId="29" xr:uid="{00000000-0005-0000-0000-00006E000000}"/>
    <cellStyle name="20% - Accent1 4 2 2" xfId="5131" xr:uid="{00000000-0005-0000-0000-00006F000000}"/>
    <cellStyle name="20% - Accent1 4 2 3" xfId="5132" xr:uid="{00000000-0005-0000-0000-000070000000}"/>
    <cellStyle name="20% - Accent1 4 3" xfId="5133" xr:uid="{00000000-0005-0000-0000-000071000000}"/>
    <cellStyle name="20% - Accent1 4 4" xfId="5134" xr:uid="{00000000-0005-0000-0000-000072000000}"/>
    <cellStyle name="20% - Accent1 4_Budget incorporated 2011-2012 last101011" xfId="30" xr:uid="{00000000-0005-0000-0000-000073000000}"/>
    <cellStyle name="20% - Accent1 5" xfId="31" xr:uid="{00000000-0005-0000-0000-000074000000}"/>
    <cellStyle name="20% - Accent1 5 2" xfId="5135" xr:uid="{00000000-0005-0000-0000-000075000000}"/>
    <cellStyle name="20% - Accent1 5 3" xfId="5136" xr:uid="{00000000-0005-0000-0000-000076000000}"/>
    <cellStyle name="20% - Accent1 6" xfId="32" xr:uid="{00000000-0005-0000-0000-000077000000}"/>
    <cellStyle name="20% - Accent1 6 2" xfId="33" xr:uid="{00000000-0005-0000-0000-000078000000}"/>
    <cellStyle name="20% - Accent1 7" xfId="34" xr:uid="{00000000-0005-0000-0000-000079000000}"/>
    <cellStyle name="20% - Accent1 7 2" xfId="35" xr:uid="{00000000-0005-0000-0000-00007A000000}"/>
    <cellStyle name="20% - Accent2" xfId="36" xr:uid="{00000000-0005-0000-0000-00007B000000}"/>
    <cellStyle name="20% - Accent2 2" xfId="37" xr:uid="{00000000-0005-0000-0000-00007C000000}"/>
    <cellStyle name="20% - Accent2 2 10" xfId="38" xr:uid="{00000000-0005-0000-0000-00007D000000}"/>
    <cellStyle name="20% - Accent2 2 10 2" xfId="5137" xr:uid="{00000000-0005-0000-0000-00007E000000}"/>
    <cellStyle name="20% - Accent2 2 10 3" xfId="5138" xr:uid="{00000000-0005-0000-0000-00007F000000}"/>
    <cellStyle name="20% - Accent2 2 10 4" xfId="5139" xr:uid="{00000000-0005-0000-0000-000080000000}"/>
    <cellStyle name="20% - Accent2 2 11" xfId="5140" xr:uid="{00000000-0005-0000-0000-000081000000}"/>
    <cellStyle name="20% - Accent2 2 11 2" xfId="5141" xr:uid="{00000000-0005-0000-0000-000082000000}"/>
    <cellStyle name="20% - Accent2 2 11 3" xfId="5142" xr:uid="{00000000-0005-0000-0000-000083000000}"/>
    <cellStyle name="20% - Accent2 2 12" xfId="5143" xr:uid="{00000000-0005-0000-0000-000084000000}"/>
    <cellStyle name="20% - Accent2 2 12 2" xfId="5144" xr:uid="{00000000-0005-0000-0000-000085000000}"/>
    <cellStyle name="20% - Accent2 2 12 3" xfId="5145" xr:uid="{00000000-0005-0000-0000-000086000000}"/>
    <cellStyle name="20% - Accent2 2 13" xfId="5146" xr:uid="{00000000-0005-0000-0000-000087000000}"/>
    <cellStyle name="20% - Accent2 2 13 2" xfId="5147" xr:uid="{00000000-0005-0000-0000-000088000000}"/>
    <cellStyle name="20% - Accent2 2 13 3" xfId="5148" xr:uid="{00000000-0005-0000-0000-000089000000}"/>
    <cellStyle name="20% - Accent2 2 14" xfId="5149" xr:uid="{00000000-0005-0000-0000-00008A000000}"/>
    <cellStyle name="20% - Accent2 2 14 2" xfId="5150" xr:uid="{00000000-0005-0000-0000-00008B000000}"/>
    <cellStyle name="20% - Accent2 2 14 3" xfId="5151" xr:uid="{00000000-0005-0000-0000-00008C000000}"/>
    <cellStyle name="20% - Accent2 2 15" xfId="5152" xr:uid="{00000000-0005-0000-0000-00008D000000}"/>
    <cellStyle name="20% - Accent2 2 15 2" xfId="5153" xr:uid="{00000000-0005-0000-0000-00008E000000}"/>
    <cellStyle name="20% - Accent2 2 15 3" xfId="5154" xr:uid="{00000000-0005-0000-0000-00008F000000}"/>
    <cellStyle name="20% - Accent2 2 16" xfId="5155" xr:uid="{00000000-0005-0000-0000-000090000000}"/>
    <cellStyle name="20% - Accent2 2 16 2" xfId="5156" xr:uid="{00000000-0005-0000-0000-000091000000}"/>
    <cellStyle name="20% - Accent2 2 16 3" xfId="5157" xr:uid="{00000000-0005-0000-0000-000092000000}"/>
    <cellStyle name="20% - Accent2 2 17" xfId="5158" xr:uid="{00000000-0005-0000-0000-000093000000}"/>
    <cellStyle name="20% - Accent2 2 17 2" xfId="5159" xr:uid="{00000000-0005-0000-0000-000094000000}"/>
    <cellStyle name="20% - Accent2 2 17 3" xfId="5160" xr:uid="{00000000-0005-0000-0000-000095000000}"/>
    <cellStyle name="20% - Accent2 2 18" xfId="5161" xr:uid="{00000000-0005-0000-0000-000096000000}"/>
    <cellStyle name="20% - Accent2 2 18 2" xfId="5162" xr:uid="{00000000-0005-0000-0000-000097000000}"/>
    <cellStyle name="20% - Accent2 2 18 3" xfId="5163" xr:uid="{00000000-0005-0000-0000-000098000000}"/>
    <cellStyle name="20% - Accent2 2 19" xfId="5164" xr:uid="{00000000-0005-0000-0000-000099000000}"/>
    <cellStyle name="20% - Accent2 2 2" xfId="39" xr:uid="{00000000-0005-0000-0000-00009A000000}"/>
    <cellStyle name="20% - Accent2 2 2 2" xfId="5165" xr:uid="{00000000-0005-0000-0000-00009B000000}"/>
    <cellStyle name="20% - Accent2 2 2 3" xfId="5166" xr:uid="{00000000-0005-0000-0000-00009C000000}"/>
    <cellStyle name="20% - Accent2 2 20" xfId="5167" xr:uid="{00000000-0005-0000-0000-00009D000000}"/>
    <cellStyle name="20% - Accent2 2 21" xfId="5168" xr:uid="{00000000-0005-0000-0000-00009E000000}"/>
    <cellStyle name="20% - Accent2 2 22" xfId="5169" xr:uid="{00000000-0005-0000-0000-00009F000000}"/>
    <cellStyle name="20% - Accent2 2 23" xfId="5170" xr:uid="{00000000-0005-0000-0000-0000A0000000}"/>
    <cellStyle name="20% - Accent2 2 24" xfId="5171" xr:uid="{00000000-0005-0000-0000-0000A1000000}"/>
    <cellStyle name="20% - Accent2 2 25" xfId="5172" xr:uid="{00000000-0005-0000-0000-0000A2000000}"/>
    <cellStyle name="20% - Accent2 2 26" xfId="5173" xr:uid="{00000000-0005-0000-0000-0000A3000000}"/>
    <cellStyle name="20% - Accent2 2 27" xfId="5174" xr:uid="{00000000-0005-0000-0000-0000A4000000}"/>
    <cellStyle name="20% - Accent2 2 28" xfId="5175" xr:uid="{00000000-0005-0000-0000-0000A5000000}"/>
    <cellStyle name="20% - Accent2 2 3" xfId="40" xr:uid="{00000000-0005-0000-0000-0000A6000000}"/>
    <cellStyle name="20% - Accent2 2 3 10" xfId="5176" xr:uid="{00000000-0005-0000-0000-0000A7000000}"/>
    <cellStyle name="20% - Accent2 2 3 2" xfId="41" xr:uid="{00000000-0005-0000-0000-0000A8000000}"/>
    <cellStyle name="20% - Accent2 2 3 2 2" xfId="5177" xr:uid="{00000000-0005-0000-0000-0000A9000000}"/>
    <cellStyle name="20% - Accent2 2 3 3" xfId="42" xr:uid="{00000000-0005-0000-0000-0000AA000000}"/>
    <cellStyle name="20% - Accent2 2 3 3 2" xfId="5178" xr:uid="{00000000-0005-0000-0000-0000AB000000}"/>
    <cellStyle name="20% - Accent2 2 3 4" xfId="43" xr:uid="{00000000-0005-0000-0000-0000AC000000}"/>
    <cellStyle name="20% - Accent2 2 3 4 2" xfId="5179" xr:uid="{00000000-0005-0000-0000-0000AD000000}"/>
    <cellStyle name="20% - Accent2 2 3 5" xfId="44" xr:uid="{00000000-0005-0000-0000-0000AE000000}"/>
    <cellStyle name="20% - Accent2 2 3 5 2" xfId="5180" xr:uid="{00000000-0005-0000-0000-0000AF000000}"/>
    <cellStyle name="20% - Accent2 2 3 6" xfId="45" xr:uid="{00000000-0005-0000-0000-0000B0000000}"/>
    <cellStyle name="20% - Accent2 2 3 6 2" xfId="5181" xr:uid="{00000000-0005-0000-0000-0000B1000000}"/>
    <cellStyle name="20% - Accent2 2 3 7" xfId="46" xr:uid="{00000000-0005-0000-0000-0000B2000000}"/>
    <cellStyle name="20% - Accent2 2 3 7 2" xfId="5182" xr:uid="{00000000-0005-0000-0000-0000B3000000}"/>
    <cellStyle name="20% - Accent2 2 3 8" xfId="47" xr:uid="{00000000-0005-0000-0000-0000B4000000}"/>
    <cellStyle name="20% - Accent2 2 3 8 2" xfId="5183" xr:uid="{00000000-0005-0000-0000-0000B5000000}"/>
    <cellStyle name="20% - Accent2 2 3 9" xfId="5184" xr:uid="{00000000-0005-0000-0000-0000B6000000}"/>
    <cellStyle name="20% - Accent2 2 4" xfId="48" xr:uid="{00000000-0005-0000-0000-0000B7000000}"/>
    <cellStyle name="20% - Accent2 2 4 10" xfId="5185" xr:uid="{00000000-0005-0000-0000-0000B8000000}"/>
    <cellStyle name="20% - Accent2 2 4 11" xfId="5186" xr:uid="{00000000-0005-0000-0000-0000B9000000}"/>
    <cellStyle name="20% - Accent2 2 4 2" xfId="5187" xr:uid="{00000000-0005-0000-0000-0000BA000000}"/>
    <cellStyle name="20% - Accent2 2 4 2 2" xfId="5188" xr:uid="{00000000-0005-0000-0000-0000BB000000}"/>
    <cellStyle name="20% - Accent2 2 4 3" xfId="5189" xr:uid="{00000000-0005-0000-0000-0000BC000000}"/>
    <cellStyle name="20% - Accent2 2 4 4" xfId="5190" xr:uid="{00000000-0005-0000-0000-0000BD000000}"/>
    <cellStyle name="20% - Accent2 2 4 5" xfId="5191" xr:uid="{00000000-0005-0000-0000-0000BE000000}"/>
    <cellStyle name="20% - Accent2 2 4 6" xfId="5192" xr:uid="{00000000-0005-0000-0000-0000BF000000}"/>
    <cellStyle name="20% - Accent2 2 4 7" xfId="5193" xr:uid="{00000000-0005-0000-0000-0000C0000000}"/>
    <cellStyle name="20% - Accent2 2 4 8" xfId="5194" xr:uid="{00000000-0005-0000-0000-0000C1000000}"/>
    <cellStyle name="20% - Accent2 2 4 9" xfId="5195" xr:uid="{00000000-0005-0000-0000-0000C2000000}"/>
    <cellStyle name="20% - Accent2 2 5" xfId="49" xr:uid="{00000000-0005-0000-0000-0000C3000000}"/>
    <cellStyle name="20% - Accent2 2 5 10" xfId="5196" xr:uid="{00000000-0005-0000-0000-0000C4000000}"/>
    <cellStyle name="20% - Accent2 2 5 11" xfId="5197" xr:uid="{00000000-0005-0000-0000-0000C5000000}"/>
    <cellStyle name="20% - Accent2 2 5 2" xfId="5198" xr:uid="{00000000-0005-0000-0000-0000C6000000}"/>
    <cellStyle name="20% - Accent2 2 5 2 2" xfId="5199" xr:uid="{00000000-0005-0000-0000-0000C7000000}"/>
    <cellStyle name="20% - Accent2 2 5 3" xfId="5200" xr:uid="{00000000-0005-0000-0000-0000C8000000}"/>
    <cellStyle name="20% - Accent2 2 5 4" xfId="5201" xr:uid="{00000000-0005-0000-0000-0000C9000000}"/>
    <cellStyle name="20% - Accent2 2 5 5" xfId="5202" xr:uid="{00000000-0005-0000-0000-0000CA000000}"/>
    <cellStyle name="20% - Accent2 2 5 6" xfId="5203" xr:uid="{00000000-0005-0000-0000-0000CB000000}"/>
    <cellStyle name="20% - Accent2 2 5 7" xfId="5204" xr:uid="{00000000-0005-0000-0000-0000CC000000}"/>
    <cellStyle name="20% - Accent2 2 5 8" xfId="5205" xr:uid="{00000000-0005-0000-0000-0000CD000000}"/>
    <cellStyle name="20% - Accent2 2 5 9" xfId="5206" xr:uid="{00000000-0005-0000-0000-0000CE000000}"/>
    <cellStyle name="20% - Accent2 2 6" xfId="50" xr:uid="{00000000-0005-0000-0000-0000CF000000}"/>
    <cellStyle name="20% - Accent2 2 6 2" xfId="5207" xr:uid="{00000000-0005-0000-0000-0000D0000000}"/>
    <cellStyle name="20% - Accent2 2 6 3" xfId="5208" xr:uid="{00000000-0005-0000-0000-0000D1000000}"/>
    <cellStyle name="20% - Accent2 2 7" xfId="51" xr:uid="{00000000-0005-0000-0000-0000D2000000}"/>
    <cellStyle name="20% - Accent2 2 7 2" xfId="5209" xr:uid="{00000000-0005-0000-0000-0000D3000000}"/>
    <cellStyle name="20% - Accent2 2 7 3" xfId="5210" xr:uid="{00000000-0005-0000-0000-0000D4000000}"/>
    <cellStyle name="20% - Accent2 2 8" xfId="52" xr:uid="{00000000-0005-0000-0000-0000D5000000}"/>
    <cellStyle name="20% - Accent2 2 8 2" xfId="5211" xr:uid="{00000000-0005-0000-0000-0000D6000000}"/>
    <cellStyle name="20% - Accent2 2 8 3" xfId="5212" xr:uid="{00000000-0005-0000-0000-0000D7000000}"/>
    <cellStyle name="20% - Accent2 2 9" xfId="53" xr:uid="{00000000-0005-0000-0000-0000D8000000}"/>
    <cellStyle name="20% - Accent2 2 9 2" xfId="5213" xr:uid="{00000000-0005-0000-0000-0000D9000000}"/>
    <cellStyle name="20% - Accent2 2 9 3" xfId="5214" xr:uid="{00000000-0005-0000-0000-0000DA000000}"/>
    <cellStyle name="20% - Accent2 2_Blood_21months_EURO" xfId="54" xr:uid="{00000000-0005-0000-0000-0000DB000000}"/>
    <cellStyle name="20% - Accent2 3" xfId="55" xr:uid="{00000000-0005-0000-0000-0000DC000000}"/>
    <cellStyle name="20% - Accent2 3 2" xfId="56" xr:uid="{00000000-0005-0000-0000-0000DD000000}"/>
    <cellStyle name="20% - Accent2 3 2 2" xfId="5215" xr:uid="{00000000-0005-0000-0000-0000DE000000}"/>
    <cellStyle name="20% - Accent2 3 2 3" xfId="5216" xr:uid="{00000000-0005-0000-0000-0000DF000000}"/>
    <cellStyle name="20% - Accent2 3 3" xfId="5217" xr:uid="{00000000-0005-0000-0000-0000E0000000}"/>
    <cellStyle name="20% - Accent2 3 4" xfId="5218" xr:uid="{00000000-0005-0000-0000-0000E1000000}"/>
    <cellStyle name="20% - Accent2 3_Budget incorporated 2011-2012 last101011" xfId="57" xr:uid="{00000000-0005-0000-0000-0000E2000000}"/>
    <cellStyle name="20% - Accent2 4" xfId="58" xr:uid="{00000000-0005-0000-0000-0000E3000000}"/>
    <cellStyle name="20% - Accent2 4 2" xfId="59" xr:uid="{00000000-0005-0000-0000-0000E4000000}"/>
    <cellStyle name="20% - Accent2 4 2 2" xfId="5219" xr:uid="{00000000-0005-0000-0000-0000E5000000}"/>
    <cellStyle name="20% - Accent2 4 2 3" xfId="5220" xr:uid="{00000000-0005-0000-0000-0000E6000000}"/>
    <cellStyle name="20% - Accent2 4 3" xfId="5221" xr:uid="{00000000-0005-0000-0000-0000E7000000}"/>
    <cellStyle name="20% - Accent2 4 4" xfId="5222" xr:uid="{00000000-0005-0000-0000-0000E8000000}"/>
    <cellStyle name="20% - Accent2 4_Budget incorporated 2011-2012 last101011" xfId="60" xr:uid="{00000000-0005-0000-0000-0000E9000000}"/>
    <cellStyle name="20% - Accent2 5" xfId="61" xr:uid="{00000000-0005-0000-0000-0000EA000000}"/>
    <cellStyle name="20% - Accent2 5 2" xfId="5223" xr:uid="{00000000-0005-0000-0000-0000EB000000}"/>
    <cellStyle name="20% - Accent2 5 3" xfId="5224" xr:uid="{00000000-0005-0000-0000-0000EC000000}"/>
    <cellStyle name="20% - Accent2 6" xfId="62" xr:uid="{00000000-0005-0000-0000-0000ED000000}"/>
    <cellStyle name="20% - Accent2 6 2" xfId="63" xr:uid="{00000000-0005-0000-0000-0000EE000000}"/>
    <cellStyle name="20% - Accent2 7" xfId="64" xr:uid="{00000000-0005-0000-0000-0000EF000000}"/>
    <cellStyle name="20% - Accent2 7 2" xfId="65" xr:uid="{00000000-0005-0000-0000-0000F0000000}"/>
    <cellStyle name="20% - Accent3" xfId="66" xr:uid="{00000000-0005-0000-0000-0000F1000000}"/>
    <cellStyle name="20% - Accent3 2" xfId="67" xr:uid="{00000000-0005-0000-0000-0000F2000000}"/>
    <cellStyle name="20% - Accent3 2 10" xfId="68" xr:uid="{00000000-0005-0000-0000-0000F3000000}"/>
    <cellStyle name="20% - Accent3 2 10 2" xfId="5225" xr:uid="{00000000-0005-0000-0000-0000F4000000}"/>
    <cellStyle name="20% - Accent3 2 10 3" xfId="5226" xr:uid="{00000000-0005-0000-0000-0000F5000000}"/>
    <cellStyle name="20% - Accent3 2 10 4" xfId="5227" xr:uid="{00000000-0005-0000-0000-0000F6000000}"/>
    <cellStyle name="20% - Accent3 2 11" xfId="5228" xr:uid="{00000000-0005-0000-0000-0000F7000000}"/>
    <cellStyle name="20% - Accent3 2 11 2" xfId="5229" xr:uid="{00000000-0005-0000-0000-0000F8000000}"/>
    <cellStyle name="20% - Accent3 2 11 3" xfId="5230" xr:uid="{00000000-0005-0000-0000-0000F9000000}"/>
    <cellStyle name="20% - Accent3 2 12" xfId="5231" xr:uid="{00000000-0005-0000-0000-0000FA000000}"/>
    <cellStyle name="20% - Accent3 2 12 2" xfId="5232" xr:uid="{00000000-0005-0000-0000-0000FB000000}"/>
    <cellStyle name="20% - Accent3 2 12 3" xfId="5233" xr:uid="{00000000-0005-0000-0000-0000FC000000}"/>
    <cellStyle name="20% - Accent3 2 13" xfId="5234" xr:uid="{00000000-0005-0000-0000-0000FD000000}"/>
    <cellStyle name="20% - Accent3 2 13 2" xfId="5235" xr:uid="{00000000-0005-0000-0000-0000FE000000}"/>
    <cellStyle name="20% - Accent3 2 13 3" xfId="5236" xr:uid="{00000000-0005-0000-0000-0000FF000000}"/>
    <cellStyle name="20% - Accent3 2 14" xfId="5237" xr:uid="{00000000-0005-0000-0000-000000010000}"/>
    <cellStyle name="20% - Accent3 2 14 2" xfId="5238" xr:uid="{00000000-0005-0000-0000-000001010000}"/>
    <cellStyle name="20% - Accent3 2 14 3" xfId="5239" xr:uid="{00000000-0005-0000-0000-000002010000}"/>
    <cellStyle name="20% - Accent3 2 15" xfId="5240" xr:uid="{00000000-0005-0000-0000-000003010000}"/>
    <cellStyle name="20% - Accent3 2 15 2" xfId="5241" xr:uid="{00000000-0005-0000-0000-000004010000}"/>
    <cellStyle name="20% - Accent3 2 15 3" xfId="5242" xr:uid="{00000000-0005-0000-0000-000005010000}"/>
    <cellStyle name="20% - Accent3 2 16" xfId="5243" xr:uid="{00000000-0005-0000-0000-000006010000}"/>
    <cellStyle name="20% - Accent3 2 16 2" xfId="5244" xr:uid="{00000000-0005-0000-0000-000007010000}"/>
    <cellStyle name="20% - Accent3 2 16 3" xfId="5245" xr:uid="{00000000-0005-0000-0000-000008010000}"/>
    <cellStyle name="20% - Accent3 2 17" xfId="5246" xr:uid="{00000000-0005-0000-0000-000009010000}"/>
    <cellStyle name="20% - Accent3 2 17 2" xfId="5247" xr:uid="{00000000-0005-0000-0000-00000A010000}"/>
    <cellStyle name="20% - Accent3 2 17 3" xfId="5248" xr:uid="{00000000-0005-0000-0000-00000B010000}"/>
    <cellStyle name="20% - Accent3 2 18" xfId="5249" xr:uid="{00000000-0005-0000-0000-00000C010000}"/>
    <cellStyle name="20% - Accent3 2 18 2" xfId="5250" xr:uid="{00000000-0005-0000-0000-00000D010000}"/>
    <cellStyle name="20% - Accent3 2 18 3" xfId="5251" xr:uid="{00000000-0005-0000-0000-00000E010000}"/>
    <cellStyle name="20% - Accent3 2 19" xfId="5252" xr:uid="{00000000-0005-0000-0000-00000F010000}"/>
    <cellStyle name="20% - Accent3 2 2" xfId="69" xr:uid="{00000000-0005-0000-0000-000010010000}"/>
    <cellStyle name="20% - Accent3 2 2 2" xfId="5253" xr:uid="{00000000-0005-0000-0000-000011010000}"/>
    <cellStyle name="20% - Accent3 2 2 3" xfId="5254" xr:uid="{00000000-0005-0000-0000-000012010000}"/>
    <cellStyle name="20% - Accent3 2 20" xfId="5255" xr:uid="{00000000-0005-0000-0000-000013010000}"/>
    <cellStyle name="20% - Accent3 2 21" xfId="5256" xr:uid="{00000000-0005-0000-0000-000014010000}"/>
    <cellStyle name="20% - Accent3 2 22" xfId="5257" xr:uid="{00000000-0005-0000-0000-000015010000}"/>
    <cellStyle name="20% - Accent3 2 23" xfId="5258" xr:uid="{00000000-0005-0000-0000-000016010000}"/>
    <cellStyle name="20% - Accent3 2 24" xfId="5259" xr:uid="{00000000-0005-0000-0000-000017010000}"/>
    <cellStyle name="20% - Accent3 2 25" xfId="5260" xr:uid="{00000000-0005-0000-0000-000018010000}"/>
    <cellStyle name="20% - Accent3 2 26" xfId="5261" xr:uid="{00000000-0005-0000-0000-000019010000}"/>
    <cellStyle name="20% - Accent3 2 27" xfId="5262" xr:uid="{00000000-0005-0000-0000-00001A010000}"/>
    <cellStyle name="20% - Accent3 2 28" xfId="5263" xr:uid="{00000000-0005-0000-0000-00001B010000}"/>
    <cellStyle name="20% - Accent3 2 3" xfId="70" xr:uid="{00000000-0005-0000-0000-00001C010000}"/>
    <cellStyle name="20% - Accent3 2 3 10" xfId="5264" xr:uid="{00000000-0005-0000-0000-00001D010000}"/>
    <cellStyle name="20% - Accent3 2 3 2" xfId="71" xr:uid="{00000000-0005-0000-0000-00001E010000}"/>
    <cellStyle name="20% - Accent3 2 3 2 2" xfId="5265" xr:uid="{00000000-0005-0000-0000-00001F010000}"/>
    <cellStyle name="20% - Accent3 2 3 3" xfId="72" xr:uid="{00000000-0005-0000-0000-000020010000}"/>
    <cellStyle name="20% - Accent3 2 3 3 2" xfId="5266" xr:uid="{00000000-0005-0000-0000-000021010000}"/>
    <cellStyle name="20% - Accent3 2 3 4" xfId="73" xr:uid="{00000000-0005-0000-0000-000022010000}"/>
    <cellStyle name="20% - Accent3 2 3 4 2" xfId="5267" xr:uid="{00000000-0005-0000-0000-000023010000}"/>
    <cellStyle name="20% - Accent3 2 3 5" xfId="74" xr:uid="{00000000-0005-0000-0000-000024010000}"/>
    <cellStyle name="20% - Accent3 2 3 5 2" xfId="5268" xr:uid="{00000000-0005-0000-0000-000025010000}"/>
    <cellStyle name="20% - Accent3 2 3 6" xfId="75" xr:uid="{00000000-0005-0000-0000-000026010000}"/>
    <cellStyle name="20% - Accent3 2 3 6 2" xfId="5269" xr:uid="{00000000-0005-0000-0000-000027010000}"/>
    <cellStyle name="20% - Accent3 2 3 7" xfId="76" xr:uid="{00000000-0005-0000-0000-000028010000}"/>
    <cellStyle name="20% - Accent3 2 3 7 2" xfId="5270" xr:uid="{00000000-0005-0000-0000-000029010000}"/>
    <cellStyle name="20% - Accent3 2 3 8" xfId="77" xr:uid="{00000000-0005-0000-0000-00002A010000}"/>
    <cellStyle name="20% - Accent3 2 3 8 2" xfId="5271" xr:uid="{00000000-0005-0000-0000-00002B010000}"/>
    <cellStyle name="20% - Accent3 2 3 9" xfId="5272" xr:uid="{00000000-0005-0000-0000-00002C010000}"/>
    <cellStyle name="20% - Accent3 2 4" xfId="78" xr:uid="{00000000-0005-0000-0000-00002D010000}"/>
    <cellStyle name="20% - Accent3 2 4 10" xfId="5273" xr:uid="{00000000-0005-0000-0000-00002E010000}"/>
    <cellStyle name="20% - Accent3 2 4 11" xfId="5274" xr:uid="{00000000-0005-0000-0000-00002F010000}"/>
    <cellStyle name="20% - Accent3 2 4 2" xfId="5275" xr:uid="{00000000-0005-0000-0000-000030010000}"/>
    <cellStyle name="20% - Accent3 2 4 2 2" xfId="5276" xr:uid="{00000000-0005-0000-0000-000031010000}"/>
    <cellStyle name="20% - Accent3 2 4 3" xfId="5277" xr:uid="{00000000-0005-0000-0000-000032010000}"/>
    <cellStyle name="20% - Accent3 2 4 4" xfId="5278" xr:uid="{00000000-0005-0000-0000-000033010000}"/>
    <cellStyle name="20% - Accent3 2 4 5" xfId="5279" xr:uid="{00000000-0005-0000-0000-000034010000}"/>
    <cellStyle name="20% - Accent3 2 4 6" xfId="5280" xr:uid="{00000000-0005-0000-0000-000035010000}"/>
    <cellStyle name="20% - Accent3 2 4 7" xfId="5281" xr:uid="{00000000-0005-0000-0000-000036010000}"/>
    <cellStyle name="20% - Accent3 2 4 8" xfId="5282" xr:uid="{00000000-0005-0000-0000-000037010000}"/>
    <cellStyle name="20% - Accent3 2 4 9" xfId="5283" xr:uid="{00000000-0005-0000-0000-000038010000}"/>
    <cellStyle name="20% - Accent3 2 5" xfId="79" xr:uid="{00000000-0005-0000-0000-000039010000}"/>
    <cellStyle name="20% - Accent3 2 5 10" xfId="5284" xr:uid="{00000000-0005-0000-0000-00003A010000}"/>
    <cellStyle name="20% - Accent3 2 5 11" xfId="5285" xr:uid="{00000000-0005-0000-0000-00003B010000}"/>
    <cellStyle name="20% - Accent3 2 5 2" xfId="5286" xr:uid="{00000000-0005-0000-0000-00003C010000}"/>
    <cellStyle name="20% - Accent3 2 5 2 2" xfId="5287" xr:uid="{00000000-0005-0000-0000-00003D010000}"/>
    <cellStyle name="20% - Accent3 2 5 3" xfId="5288" xr:uid="{00000000-0005-0000-0000-00003E010000}"/>
    <cellStyle name="20% - Accent3 2 5 4" xfId="5289" xr:uid="{00000000-0005-0000-0000-00003F010000}"/>
    <cellStyle name="20% - Accent3 2 5 5" xfId="5290" xr:uid="{00000000-0005-0000-0000-000040010000}"/>
    <cellStyle name="20% - Accent3 2 5 6" xfId="5291" xr:uid="{00000000-0005-0000-0000-000041010000}"/>
    <cellStyle name="20% - Accent3 2 5 7" xfId="5292" xr:uid="{00000000-0005-0000-0000-000042010000}"/>
    <cellStyle name="20% - Accent3 2 5 8" xfId="5293" xr:uid="{00000000-0005-0000-0000-000043010000}"/>
    <cellStyle name="20% - Accent3 2 5 9" xfId="5294" xr:uid="{00000000-0005-0000-0000-000044010000}"/>
    <cellStyle name="20% - Accent3 2 6" xfId="80" xr:uid="{00000000-0005-0000-0000-000045010000}"/>
    <cellStyle name="20% - Accent3 2 6 2" xfId="5295" xr:uid="{00000000-0005-0000-0000-000046010000}"/>
    <cellStyle name="20% - Accent3 2 6 3" xfId="5296" xr:uid="{00000000-0005-0000-0000-000047010000}"/>
    <cellStyle name="20% - Accent3 2 7" xfId="81" xr:uid="{00000000-0005-0000-0000-000048010000}"/>
    <cellStyle name="20% - Accent3 2 7 2" xfId="5297" xr:uid="{00000000-0005-0000-0000-000049010000}"/>
    <cellStyle name="20% - Accent3 2 7 3" xfId="5298" xr:uid="{00000000-0005-0000-0000-00004A010000}"/>
    <cellStyle name="20% - Accent3 2 8" xfId="82" xr:uid="{00000000-0005-0000-0000-00004B010000}"/>
    <cellStyle name="20% - Accent3 2 8 2" xfId="5299" xr:uid="{00000000-0005-0000-0000-00004C010000}"/>
    <cellStyle name="20% - Accent3 2 8 3" xfId="5300" xr:uid="{00000000-0005-0000-0000-00004D010000}"/>
    <cellStyle name="20% - Accent3 2 9" xfId="83" xr:uid="{00000000-0005-0000-0000-00004E010000}"/>
    <cellStyle name="20% - Accent3 2 9 2" xfId="5301" xr:uid="{00000000-0005-0000-0000-00004F010000}"/>
    <cellStyle name="20% - Accent3 2 9 3" xfId="5302" xr:uid="{00000000-0005-0000-0000-000050010000}"/>
    <cellStyle name="20% - Accent3 2_Blood_21months_EURO" xfId="84" xr:uid="{00000000-0005-0000-0000-000051010000}"/>
    <cellStyle name="20% - Accent3 3" xfId="85" xr:uid="{00000000-0005-0000-0000-000052010000}"/>
    <cellStyle name="20% - Accent3 3 2" xfId="86" xr:uid="{00000000-0005-0000-0000-000053010000}"/>
    <cellStyle name="20% - Accent3 3 2 2" xfId="5303" xr:uid="{00000000-0005-0000-0000-000054010000}"/>
    <cellStyle name="20% - Accent3 3 2 3" xfId="5304" xr:uid="{00000000-0005-0000-0000-000055010000}"/>
    <cellStyle name="20% - Accent3 3 3" xfId="5305" xr:uid="{00000000-0005-0000-0000-000056010000}"/>
    <cellStyle name="20% - Accent3 3 4" xfId="5306" xr:uid="{00000000-0005-0000-0000-000057010000}"/>
    <cellStyle name="20% - Accent3 3_Budget incorporated 2011-2012 last101011" xfId="87" xr:uid="{00000000-0005-0000-0000-000058010000}"/>
    <cellStyle name="20% - Accent3 4" xfId="88" xr:uid="{00000000-0005-0000-0000-000059010000}"/>
    <cellStyle name="20% - Accent3 4 2" xfId="89" xr:uid="{00000000-0005-0000-0000-00005A010000}"/>
    <cellStyle name="20% - Accent3 4 2 2" xfId="5307" xr:uid="{00000000-0005-0000-0000-00005B010000}"/>
    <cellStyle name="20% - Accent3 4 2 3" xfId="5308" xr:uid="{00000000-0005-0000-0000-00005C010000}"/>
    <cellStyle name="20% - Accent3 4 3" xfId="5309" xr:uid="{00000000-0005-0000-0000-00005D010000}"/>
    <cellStyle name="20% - Accent3 4 4" xfId="5310" xr:uid="{00000000-0005-0000-0000-00005E010000}"/>
    <cellStyle name="20% - Accent3 4_Budget incorporated 2011-2012 last101011" xfId="90" xr:uid="{00000000-0005-0000-0000-00005F010000}"/>
    <cellStyle name="20% - Accent3 5" xfId="91" xr:uid="{00000000-0005-0000-0000-000060010000}"/>
    <cellStyle name="20% - Accent3 5 2" xfId="5311" xr:uid="{00000000-0005-0000-0000-000061010000}"/>
    <cellStyle name="20% - Accent3 5 3" xfId="5312" xr:uid="{00000000-0005-0000-0000-000062010000}"/>
    <cellStyle name="20% - Accent3 6" xfId="92" xr:uid="{00000000-0005-0000-0000-000063010000}"/>
    <cellStyle name="20% - Accent3 6 2" xfId="93" xr:uid="{00000000-0005-0000-0000-000064010000}"/>
    <cellStyle name="20% - Accent3 7" xfId="94" xr:uid="{00000000-0005-0000-0000-000065010000}"/>
    <cellStyle name="20% - Accent3 7 2" xfId="95" xr:uid="{00000000-0005-0000-0000-000066010000}"/>
    <cellStyle name="20% - Accent4" xfId="96" xr:uid="{00000000-0005-0000-0000-000067010000}"/>
    <cellStyle name="20% - Accent4 2" xfId="97" xr:uid="{00000000-0005-0000-0000-000068010000}"/>
    <cellStyle name="20% - Accent4 2 10" xfId="98" xr:uid="{00000000-0005-0000-0000-000069010000}"/>
    <cellStyle name="20% - Accent4 2 10 2" xfId="5313" xr:uid="{00000000-0005-0000-0000-00006A010000}"/>
    <cellStyle name="20% - Accent4 2 10 3" xfId="5314" xr:uid="{00000000-0005-0000-0000-00006B010000}"/>
    <cellStyle name="20% - Accent4 2 10 4" xfId="5315" xr:uid="{00000000-0005-0000-0000-00006C010000}"/>
    <cellStyle name="20% - Accent4 2 11" xfId="5316" xr:uid="{00000000-0005-0000-0000-00006D010000}"/>
    <cellStyle name="20% - Accent4 2 11 2" xfId="5317" xr:uid="{00000000-0005-0000-0000-00006E010000}"/>
    <cellStyle name="20% - Accent4 2 11 3" xfId="5318" xr:uid="{00000000-0005-0000-0000-00006F010000}"/>
    <cellStyle name="20% - Accent4 2 12" xfId="5319" xr:uid="{00000000-0005-0000-0000-000070010000}"/>
    <cellStyle name="20% - Accent4 2 12 2" xfId="5320" xr:uid="{00000000-0005-0000-0000-000071010000}"/>
    <cellStyle name="20% - Accent4 2 12 3" xfId="5321" xr:uid="{00000000-0005-0000-0000-000072010000}"/>
    <cellStyle name="20% - Accent4 2 13" xfId="5322" xr:uid="{00000000-0005-0000-0000-000073010000}"/>
    <cellStyle name="20% - Accent4 2 13 2" xfId="5323" xr:uid="{00000000-0005-0000-0000-000074010000}"/>
    <cellStyle name="20% - Accent4 2 13 3" xfId="5324" xr:uid="{00000000-0005-0000-0000-000075010000}"/>
    <cellStyle name="20% - Accent4 2 14" xfId="5325" xr:uid="{00000000-0005-0000-0000-000076010000}"/>
    <cellStyle name="20% - Accent4 2 14 2" xfId="5326" xr:uid="{00000000-0005-0000-0000-000077010000}"/>
    <cellStyle name="20% - Accent4 2 14 3" xfId="5327" xr:uid="{00000000-0005-0000-0000-000078010000}"/>
    <cellStyle name="20% - Accent4 2 15" xfId="5328" xr:uid="{00000000-0005-0000-0000-000079010000}"/>
    <cellStyle name="20% - Accent4 2 15 2" xfId="5329" xr:uid="{00000000-0005-0000-0000-00007A010000}"/>
    <cellStyle name="20% - Accent4 2 15 3" xfId="5330" xr:uid="{00000000-0005-0000-0000-00007B010000}"/>
    <cellStyle name="20% - Accent4 2 16" xfId="5331" xr:uid="{00000000-0005-0000-0000-00007C010000}"/>
    <cellStyle name="20% - Accent4 2 16 2" xfId="5332" xr:uid="{00000000-0005-0000-0000-00007D010000}"/>
    <cellStyle name="20% - Accent4 2 16 3" xfId="5333" xr:uid="{00000000-0005-0000-0000-00007E010000}"/>
    <cellStyle name="20% - Accent4 2 17" xfId="5334" xr:uid="{00000000-0005-0000-0000-00007F010000}"/>
    <cellStyle name="20% - Accent4 2 17 2" xfId="5335" xr:uid="{00000000-0005-0000-0000-000080010000}"/>
    <cellStyle name="20% - Accent4 2 17 3" xfId="5336" xr:uid="{00000000-0005-0000-0000-000081010000}"/>
    <cellStyle name="20% - Accent4 2 18" xfId="5337" xr:uid="{00000000-0005-0000-0000-000082010000}"/>
    <cellStyle name="20% - Accent4 2 18 2" xfId="5338" xr:uid="{00000000-0005-0000-0000-000083010000}"/>
    <cellStyle name="20% - Accent4 2 18 3" xfId="5339" xr:uid="{00000000-0005-0000-0000-000084010000}"/>
    <cellStyle name="20% - Accent4 2 19" xfId="5340" xr:uid="{00000000-0005-0000-0000-000085010000}"/>
    <cellStyle name="20% - Accent4 2 2" xfId="99" xr:uid="{00000000-0005-0000-0000-000086010000}"/>
    <cellStyle name="20% - Accent4 2 2 2" xfId="5341" xr:uid="{00000000-0005-0000-0000-000087010000}"/>
    <cellStyle name="20% - Accent4 2 2 3" xfId="5342" xr:uid="{00000000-0005-0000-0000-000088010000}"/>
    <cellStyle name="20% - Accent4 2 20" xfId="5343" xr:uid="{00000000-0005-0000-0000-000089010000}"/>
    <cellStyle name="20% - Accent4 2 21" xfId="5344" xr:uid="{00000000-0005-0000-0000-00008A010000}"/>
    <cellStyle name="20% - Accent4 2 22" xfId="5345" xr:uid="{00000000-0005-0000-0000-00008B010000}"/>
    <cellStyle name="20% - Accent4 2 23" xfId="5346" xr:uid="{00000000-0005-0000-0000-00008C010000}"/>
    <cellStyle name="20% - Accent4 2 24" xfId="5347" xr:uid="{00000000-0005-0000-0000-00008D010000}"/>
    <cellStyle name="20% - Accent4 2 25" xfId="5348" xr:uid="{00000000-0005-0000-0000-00008E010000}"/>
    <cellStyle name="20% - Accent4 2 26" xfId="5349" xr:uid="{00000000-0005-0000-0000-00008F010000}"/>
    <cellStyle name="20% - Accent4 2 27" xfId="5350" xr:uid="{00000000-0005-0000-0000-000090010000}"/>
    <cellStyle name="20% - Accent4 2 28" xfId="5351" xr:uid="{00000000-0005-0000-0000-000091010000}"/>
    <cellStyle name="20% - Accent4 2 3" xfId="100" xr:uid="{00000000-0005-0000-0000-000092010000}"/>
    <cellStyle name="20% - Accent4 2 3 10" xfId="5352" xr:uid="{00000000-0005-0000-0000-000093010000}"/>
    <cellStyle name="20% - Accent4 2 3 2" xfId="101" xr:uid="{00000000-0005-0000-0000-000094010000}"/>
    <cellStyle name="20% - Accent4 2 3 2 2" xfId="5353" xr:uid="{00000000-0005-0000-0000-000095010000}"/>
    <cellStyle name="20% - Accent4 2 3 3" xfId="102" xr:uid="{00000000-0005-0000-0000-000096010000}"/>
    <cellStyle name="20% - Accent4 2 3 3 2" xfId="5354" xr:uid="{00000000-0005-0000-0000-000097010000}"/>
    <cellStyle name="20% - Accent4 2 3 4" xfId="103" xr:uid="{00000000-0005-0000-0000-000098010000}"/>
    <cellStyle name="20% - Accent4 2 3 4 2" xfId="5355" xr:uid="{00000000-0005-0000-0000-000099010000}"/>
    <cellStyle name="20% - Accent4 2 3 5" xfId="104" xr:uid="{00000000-0005-0000-0000-00009A010000}"/>
    <cellStyle name="20% - Accent4 2 3 5 2" xfId="5356" xr:uid="{00000000-0005-0000-0000-00009B010000}"/>
    <cellStyle name="20% - Accent4 2 3 6" xfId="105" xr:uid="{00000000-0005-0000-0000-00009C010000}"/>
    <cellStyle name="20% - Accent4 2 3 6 2" xfId="5357" xr:uid="{00000000-0005-0000-0000-00009D010000}"/>
    <cellStyle name="20% - Accent4 2 3 7" xfId="106" xr:uid="{00000000-0005-0000-0000-00009E010000}"/>
    <cellStyle name="20% - Accent4 2 3 7 2" xfId="5358" xr:uid="{00000000-0005-0000-0000-00009F010000}"/>
    <cellStyle name="20% - Accent4 2 3 8" xfId="107" xr:uid="{00000000-0005-0000-0000-0000A0010000}"/>
    <cellStyle name="20% - Accent4 2 3 8 2" xfId="5359" xr:uid="{00000000-0005-0000-0000-0000A1010000}"/>
    <cellStyle name="20% - Accent4 2 3 9" xfId="5360" xr:uid="{00000000-0005-0000-0000-0000A2010000}"/>
    <cellStyle name="20% - Accent4 2 4" xfId="108" xr:uid="{00000000-0005-0000-0000-0000A3010000}"/>
    <cellStyle name="20% - Accent4 2 4 10" xfId="5361" xr:uid="{00000000-0005-0000-0000-0000A4010000}"/>
    <cellStyle name="20% - Accent4 2 4 11" xfId="5362" xr:uid="{00000000-0005-0000-0000-0000A5010000}"/>
    <cellStyle name="20% - Accent4 2 4 2" xfId="5363" xr:uid="{00000000-0005-0000-0000-0000A6010000}"/>
    <cellStyle name="20% - Accent4 2 4 2 2" xfId="5364" xr:uid="{00000000-0005-0000-0000-0000A7010000}"/>
    <cellStyle name="20% - Accent4 2 4 3" xfId="5365" xr:uid="{00000000-0005-0000-0000-0000A8010000}"/>
    <cellStyle name="20% - Accent4 2 4 4" xfId="5366" xr:uid="{00000000-0005-0000-0000-0000A9010000}"/>
    <cellStyle name="20% - Accent4 2 4 5" xfId="5367" xr:uid="{00000000-0005-0000-0000-0000AA010000}"/>
    <cellStyle name="20% - Accent4 2 4 6" xfId="5368" xr:uid="{00000000-0005-0000-0000-0000AB010000}"/>
    <cellStyle name="20% - Accent4 2 4 7" xfId="5369" xr:uid="{00000000-0005-0000-0000-0000AC010000}"/>
    <cellStyle name="20% - Accent4 2 4 8" xfId="5370" xr:uid="{00000000-0005-0000-0000-0000AD010000}"/>
    <cellStyle name="20% - Accent4 2 4 9" xfId="5371" xr:uid="{00000000-0005-0000-0000-0000AE010000}"/>
    <cellStyle name="20% - Accent4 2 5" xfId="109" xr:uid="{00000000-0005-0000-0000-0000AF010000}"/>
    <cellStyle name="20% - Accent4 2 5 10" xfId="5372" xr:uid="{00000000-0005-0000-0000-0000B0010000}"/>
    <cellStyle name="20% - Accent4 2 5 11" xfId="5373" xr:uid="{00000000-0005-0000-0000-0000B1010000}"/>
    <cellStyle name="20% - Accent4 2 5 2" xfId="5374" xr:uid="{00000000-0005-0000-0000-0000B2010000}"/>
    <cellStyle name="20% - Accent4 2 5 2 2" xfId="5375" xr:uid="{00000000-0005-0000-0000-0000B3010000}"/>
    <cellStyle name="20% - Accent4 2 5 3" xfId="5376" xr:uid="{00000000-0005-0000-0000-0000B4010000}"/>
    <cellStyle name="20% - Accent4 2 5 4" xfId="5377" xr:uid="{00000000-0005-0000-0000-0000B5010000}"/>
    <cellStyle name="20% - Accent4 2 5 5" xfId="5378" xr:uid="{00000000-0005-0000-0000-0000B6010000}"/>
    <cellStyle name="20% - Accent4 2 5 6" xfId="5379" xr:uid="{00000000-0005-0000-0000-0000B7010000}"/>
    <cellStyle name="20% - Accent4 2 5 7" xfId="5380" xr:uid="{00000000-0005-0000-0000-0000B8010000}"/>
    <cellStyle name="20% - Accent4 2 5 8" xfId="5381" xr:uid="{00000000-0005-0000-0000-0000B9010000}"/>
    <cellStyle name="20% - Accent4 2 5 9" xfId="5382" xr:uid="{00000000-0005-0000-0000-0000BA010000}"/>
    <cellStyle name="20% - Accent4 2 6" xfId="110" xr:uid="{00000000-0005-0000-0000-0000BB010000}"/>
    <cellStyle name="20% - Accent4 2 6 2" xfId="5383" xr:uid="{00000000-0005-0000-0000-0000BC010000}"/>
    <cellStyle name="20% - Accent4 2 6 3" xfId="5384" xr:uid="{00000000-0005-0000-0000-0000BD010000}"/>
    <cellStyle name="20% - Accent4 2 7" xfId="111" xr:uid="{00000000-0005-0000-0000-0000BE010000}"/>
    <cellStyle name="20% - Accent4 2 7 2" xfId="5385" xr:uid="{00000000-0005-0000-0000-0000BF010000}"/>
    <cellStyle name="20% - Accent4 2 7 3" xfId="5386" xr:uid="{00000000-0005-0000-0000-0000C0010000}"/>
    <cellStyle name="20% - Accent4 2 8" xfId="112" xr:uid="{00000000-0005-0000-0000-0000C1010000}"/>
    <cellStyle name="20% - Accent4 2 8 2" xfId="5387" xr:uid="{00000000-0005-0000-0000-0000C2010000}"/>
    <cellStyle name="20% - Accent4 2 8 3" xfId="5388" xr:uid="{00000000-0005-0000-0000-0000C3010000}"/>
    <cellStyle name="20% - Accent4 2 9" xfId="113" xr:uid="{00000000-0005-0000-0000-0000C4010000}"/>
    <cellStyle name="20% - Accent4 2 9 2" xfId="5389" xr:uid="{00000000-0005-0000-0000-0000C5010000}"/>
    <cellStyle name="20% - Accent4 2 9 3" xfId="5390" xr:uid="{00000000-0005-0000-0000-0000C6010000}"/>
    <cellStyle name="20% - Accent4 2_Blood_21months_EURO" xfId="114" xr:uid="{00000000-0005-0000-0000-0000C7010000}"/>
    <cellStyle name="20% - Accent4 3" xfId="115" xr:uid="{00000000-0005-0000-0000-0000C8010000}"/>
    <cellStyle name="20% - Accent4 3 2" xfId="116" xr:uid="{00000000-0005-0000-0000-0000C9010000}"/>
    <cellStyle name="20% - Accent4 3 2 2" xfId="5391" xr:uid="{00000000-0005-0000-0000-0000CA010000}"/>
    <cellStyle name="20% - Accent4 3 2 3" xfId="5392" xr:uid="{00000000-0005-0000-0000-0000CB010000}"/>
    <cellStyle name="20% - Accent4 3 3" xfId="5393" xr:uid="{00000000-0005-0000-0000-0000CC010000}"/>
    <cellStyle name="20% - Accent4 3 4" xfId="5394" xr:uid="{00000000-0005-0000-0000-0000CD010000}"/>
    <cellStyle name="20% - Accent4 3_Budget incorporated 2011-2012 last101011" xfId="117" xr:uid="{00000000-0005-0000-0000-0000CE010000}"/>
    <cellStyle name="20% - Accent4 4" xfId="118" xr:uid="{00000000-0005-0000-0000-0000CF010000}"/>
    <cellStyle name="20% - Accent4 4 2" xfId="119" xr:uid="{00000000-0005-0000-0000-0000D0010000}"/>
    <cellStyle name="20% - Accent4 4 2 2" xfId="5395" xr:uid="{00000000-0005-0000-0000-0000D1010000}"/>
    <cellStyle name="20% - Accent4 4 2 3" xfId="5396" xr:uid="{00000000-0005-0000-0000-0000D2010000}"/>
    <cellStyle name="20% - Accent4 4 3" xfId="5397" xr:uid="{00000000-0005-0000-0000-0000D3010000}"/>
    <cellStyle name="20% - Accent4 4 4" xfId="5398" xr:uid="{00000000-0005-0000-0000-0000D4010000}"/>
    <cellStyle name="20% - Accent4 4_Budget incorporated 2011-2012 last101011" xfId="120" xr:uid="{00000000-0005-0000-0000-0000D5010000}"/>
    <cellStyle name="20% - Accent4 5" xfId="121" xr:uid="{00000000-0005-0000-0000-0000D6010000}"/>
    <cellStyle name="20% - Accent4 5 2" xfId="5399" xr:uid="{00000000-0005-0000-0000-0000D7010000}"/>
    <cellStyle name="20% - Accent4 5 3" xfId="5400" xr:uid="{00000000-0005-0000-0000-0000D8010000}"/>
    <cellStyle name="20% - Accent4 6" xfId="122" xr:uid="{00000000-0005-0000-0000-0000D9010000}"/>
    <cellStyle name="20% - Accent4 6 2" xfId="123" xr:uid="{00000000-0005-0000-0000-0000DA010000}"/>
    <cellStyle name="20% - Accent4 7" xfId="124" xr:uid="{00000000-0005-0000-0000-0000DB010000}"/>
    <cellStyle name="20% - Accent4 7 2" xfId="125" xr:uid="{00000000-0005-0000-0000-0000DC010000}"/>
    <cellStyle name="20% - Accent5" xfId="126" xr:uid="{00000000-0005-0000-0000-0000DD010000}"/>
    <cellStyle name="20% - Accent5 2" xfId="127" xr:uid="{00000000-0005-0000-0000-0000DE010000}"/>
    <cellStyle name="20% - Accent5 2 10" xfId="5401" xr:uid="{00000000-0005-0000-0000-0000DF010000}"/>
    <cellStyle name="20% - Accent5 2 11" xfId="5402" xr:uid="{00000000-0005-0000-0000-0000E0010000}"/>
    <cellStyle name="20% - Accent5 2 12" xfId="5403" xr:uid="{00000000-0005-0000-0000-0000E1010000}"/>
    <cellStyle name="20% - Accent5 2 13" xfId="5404" xr:uid="{00000000-0005-0000-0000-0000E2010000}"/>
    <cellStyle name="20% - Accent5 2 2" xfId="128" xr:uid="{00000000-0005-0000-0000-0000E3010000}"/>
    <cellStyle name="20% - Accent5 2 2 2" xfId="5405" xr:uid="{00000000-0005-0000-0000-0000E4010000}"/>
    <cellStyle name="20% - Accent5 2 2 3" xfId="5406" xr:uid="{00000000-0005-0000-0000-0000E5010000}"/>
    <cellStyle name="20% - Accent5 2 3" xfId="129" xr:uid="{00000000-0005-0000-0000-0000E6010000}"/>
    <cellStyle name="20% - Accent5 2 4" xfId="130" xr:uid="{00000000-0005-0000-0000-0000E7010000}"/>
    <cellStyle name="20% - Accent5 2 4 10" xfId="5407" xr:uid="{00000000-0005-0000-0000-0000E8010000}"/>
    <cellStyle name="20% - Accent5 2 4 2" xfId="5408" xr:uid="{00000000-0005-0000-0000-0000E9010000}"/>
    <cellStyle name="20% - Accent5 2 4 2 2" xfId="5409" xr:uid="{00000000-0005-0000-0000-0000EA010000}"/>
    <cellStyle name="20% - Accent5 2 4 3" xfId="5410" xr:uid="{00000000-0005-0000-0000-0000EB010000}"/>
    <cellStyle name="20% - Accent5 2 4 4" xfId="5411" xr:uid="{00000000-0005-0000-0000-0000EC010000}"/>
    <cellStyle name="20% - Accent5 2 4 5" xfId="5412" xr:uid="{00000000-0005-0000-0000-0000ED010000}"/>
    <cellStyle name="20% - Accent5 2 4 6" xfId="5413" xr:uid="{00000000-0005-0000-0000-0000EE010000}"/>
    <cellStyle name="20% - Accent5 2 4 7" xfId="5414" xr:uid="{00000000-0005-0000-0000-0000EF010000}"/>
    <cellStyle name="20% - Accent5 2 4 8" xfId="5415" xr:uid="{00000000-0005-0000-0000-0000F0010000}"/>
    <cellStyle name="20% - Accent5 2 4 9" xfId="5416" xr:uid="{00000000-0005-0000-0000-0000F1010000}"/>
    <cellStyle name="20% - Accent5 2 5" xfId="131" xr:uid="{00000000-0005-0000-0000-0000F2010000}"/>
    <cellStyle name="20% - Accent5 2 5 2" xfId="5417" xr:uid="{00000000-0005-0000-0000-0000F3010000}"/>
    <cellStyle name="20% - Accent5 2 5 3" xfId="5418" xr:uid="{00000000-0005-0000-0000-0000F4010000}"/>
    <cellStyle name="20% - Accent5 2 6" xfId="132" xr:uid="{00000000-0005-0000-0000-0000F5010000}"/>
    <cellStyle name="20% - Accent5 2 7" xfId="133" xr:uid="{00000000-0005-0000-0000-0000F6010000}"/>
    <cellStyle name="20% - Accent5 2 8" xfId="134" xr:uid="{00000000-0005-0000-0000-0000F7010000}"/>
    <cellStyle name="20% - Accent5 2 9" xfId="135" xr:uid="{00000000-0005-0000-0000-0000F8010000}"/>
    <cellStyle name="20% - Accent5 2_Budget incorporated 2011-2012 last101011" xfId="136" xr:uid="{00000000-0005-0000-0000-0000F9010000}"/>
    <cellStyle name="20% - Accent5 3" xfId="137" xr:uid="{00000000-0005-0000-0000-0000FA010000}"/>
    <cellStyle name="20% - Accent5 3 2" xfId="138" xr:uid="{00000000-0005-0000-0000-0000FB010000}"/>
    <cellStyle name="20% - Accent5 3 2 2" xfId="5419" xr:uid="{00000000-0005-0000-0000-0000FC010000}"/>
    <cellStyle name="20% - Accent5 3 2 3" xfId="5420" xr:uid="{00000000-0005-0000-0000-0000FD010000}"/>
    <cellStyle name="20% - Accent5 3 3" xfId="5421" xr:uid="{00000000-0005-0000-0000-0000FE010000}"/>
    <cellStyle name="20% - Accent5 3 4" xfId="5422" xr:uid="{00000000-0005-0000-0000-0000FF010000}"/>
    <cellStyle name="20% - Accent5 3_Budget incorporated 2011-2012 last101011" xfId="139" xr:uid="{00000000-0005-0000-0000-000000020000}"/>
    <cellStyle name="20% - Accent5 4" xfId="140" xr:uid="{00000000-0005-0000-0000-000001020000}"/>
    <cellStyle name="20% - Accent5 4 2" xfId="141" xr:uid="{00000000-0005-0000-0000-000002020000}"/>
    <cellStyle name="20% - Accent5 4 2 2" xfId="5423" xr:uid="{00000000-0005-0000-0000-000003020000}"/>
    <cellStyle name="20% - Accent5 4 2 3" xfId="5424" xr:uid="{00000000-0005-0000-0000-000004020000}"/>
    <cellStyle name="20% - Accent5 4 3" xfId="5425" xr:uid="{00000000-0005-0000-0000-000005020000}"/>
    <cellStyle name="20% - Accent5 4 4" xfId="5426" xr:uid="{00000000-0005-0000-0000-000006020000}"/>
    <cellStyle name="20% - Accent5 4_Budget incorporated 2011-2012 last101011" xfId="142" xr:uid="{00000000-0005-0000-0000-000007020000}"/>
    <cellStyle name="20% - Accent5 5" xfId="143" xr:uid="{00000000-0005-0000-0000-000008020000}"/>
    <cellStyle name="20% - Accent5 5 2" xfId="5427" xr:uid="{00000000-0005-0000-0000-000009020000}"/>
    <cellStyle name="20% - Accent5 5 3" xfId="5428" xr:uid="{00000000-0005-0000-0000-00000A020000}"/>
    <cellStyle name="20% - Accent5 6" xfId="144" xr:uid="{00000000-0005-0000-0000-00000B020000}"/>
    <cellStyle name="20% - Accent5 6 2" xfId="145" xr:uid="{00000000-0005-0000-0000-00000C020000}"/>
    <cellStyle name="20% - Accent5 7" xfId="146" xr:uid="{00000000-0005-0000-0000-00000D020000}"/>
    <cellStyle name="20% - Accent5 7 2" xfId="147" xr:uid="{00000000-0005-0000-0000-00000E020000}"/>
    <cellStyle name="20% - Accent6" xfId="148" xr:uid="{00000000-0005-0000-0000-00000F020000}"/>
    <cellStyle name="20% - Accent6 2" xfId="149" xr:uid="{00000000-0005-0000-0000-000010020000}"/>
    <cellStyle name="20% - Accent6 2 10" xfId="5429" xr:uid="{00000000-0005-0000-0000-000011020000}"/>
    <cellStyle name="20% - Accent6 2 11" xfId="5430" xr:uid="{00000000-0005-0000-0000-000012020000}"/>
    <cellStyle name="20% - Accent6 2 12" xfId="5431" xr:uid="{00000000-0005-0000-0000-000013020000}"/>
    <cellStyle name="20% - Accent6 2 13" xfId="5432" xr:uid="{00000000-0005-0000-0000-000014020000}"/>
    <cellStyle name="20% - Accent6 2 2" xfId="150" xr:uid="{00000000-0005-0000-0000-000015020000}"/>
    <cellStyle name="20% - Accent6 2 2 2" xfId="5433" xr:uid="{00000000-0005-0000-0000-000016020000}"/>
    <cellStyle name="20% - Accent6 2 2 3" xfId="5434" xr:uid="{00000000-0005-0000-0000-000017020000}"/>
    <cellStyle name="20% - Accent6 2 3" xfId="151" xr:uid="{00000000-0005-0000-0000-000018020000}"/>
    <cellStyle name="20% - Accent6 2 4" xfId="152" xr:uid="{00000000-0005-0000-0000-000019020000}"/>
    <cellStyle name="20% - Accent6 2 4 10" xfId="5435" xr:uid="{00000000-0005-0000-0000-00001A020000}"/>
    <cellStyle name="20% - Accent6 2 4 2" xfId="5436" xr:uid="{00000000-0005-0000-0000-00001B020000}"/>
    <cellStyle name="20% - Accent6 2 4 2 2" xfId="5437" xr:uid="{00000000-0005-0000-0000-00001C020000}"/>
    <cellStyle name="20% - Accent6 2 4 3" xfId="5438" xr:uid="{00000000-0005-0000-0000-00001D020000}"/>
    <cellStyle name="20% - Accent6 2 4 4" xfId="5439" xr:uid="{00000000-0005-0000-0000-00001E020000}"/>
    <cellStyle name="20% - Accent6 2 4 5" xfId="5440" xr:uid="{00000000-0005-0000-0000-00001F020000}"/>
    <cellStyle name="20% - Accent6 2 4 6" xfId="5441" xr:uid="{00000000-0005-0000-0000-000020020000}"/>
    <cellStyle name="20% - Accent6 2 4 7" xfId="5442" xr:uid="{00000000-0005-0000-0000-000021020000}"/>
    <cellStyle name="20% - Accent6 2 4 8" xfId="5443" xr:uid="{00000000-0005-0000-0000-000022020000}"/>
    <cellStyle name="20% - Accent6 2 4 9" xfId="5444" xr:uid="{00000000-0005-0000-0000-000023020000}"/>
    <cellStyle name="20% - Accent6 2 5" xfId="153" xr:uid="{00000000-0005-0000-0000-000024020000}"/>
    <cellStyle name="20% - Accent6 2 5 2" xfId="5445" xr:uid="{00000000-0005-0000-0000-000025020000}"/>
    <cellStyle name="20% - Accent6 2 5 3" xfId="5446" xr:uid="{00000000-0005-0000-0000-000026020000}"/>
    <cellStyle name="20% - Accent6 2 6" xfId="154" xr:uid="{00000000-0005-0000-0000-000027020000}"/>
    <cellStyle name="20% - Accent6 2 7" xfId="155" xr:uid="{00000000-0005-0000-0000-000028020000}"/>
    <cellStyle name="20% - Accent6 2 8" xfId="156" xr:uid="{00000000-0005-0000-0000-000029020000}"/>
    <cellStyle name="20% - Accent6 2 9" xfId="157" xr:uid="{00000000-0005-0000-0000-00002A020000}"/>
    <cellStyle name="20% - Accent6 2_Budget incorporated 2011-2012 last101011" xfId="158" xr:uid="{00000000-0005-0000-0000-00002B020000}"/>
    <cellStyle name="20% - Accent6 3" xfId="159" xr:uid="{00000000-0005-0000-0000-00002C020000}"/>
    <cellStyle name="20% - Accent6 3 2" xfId="160" xr:uid="{00000000-0005-0000-0000-00002D020000}"/>
    <cellStyle name="20% - Accent6 3 2 2" xfId="5447" xr:uid="{00000000-0005-0000-0000-00002E020000}"/>
    <cellStyle name="20% - Accent6 3 2 3" xfId="5448" xr:uid="{00000000-0005-0000-0000-00002F020000}"/>
    <cellStyle name="20% - Accent6 3 3" xfId="5449" xr:uid="{00000000-0005-0000-0000-000030020000}"/>
    <cellStyle name="20% - Accent6 3 4" xfId="5450" xr:uid="{00000000-0005-0000-0000-000031020000}"/>
    <cellStyle name="20% - Accent6 3_Budget incorporated 2011-2012 last101011" xfId="161" xr:uid="{00000000-0005-0000-0000-000032020000}"/>
    <cellStyle name="20% - Accent6 4" xfId="162" xr:uid="{00000000-0005-0000-0000-000033020000}"/>
    <cellStyle name="20% - Accent6 4 2" xfId="163" xr:uid="{00000000-0005-0000-0000-000034020000}"/>
    <cellStyle name="20% - Accent6 4 2 2" xfId="5451" xr:uid="{00000000-0005-0000-0000-000035020000}"/>
    <cellStyle name="20% - Accent6 4 2 3" xfId="5452" xr:uid="{00000000-0005-0000-0000-000036020000}"/>
    <cellStyle name="20% - Accent6 4 3" xfId="5453" xr:uid="{00000000-0005-0000-0000-000037020000}"/>
    <cellStyle name="20% - Accent6 4 4" xfId="5454" xr:uid="{00000000-0005-0000-0000-000038020000}"/>
    <cellStyle name="20% - Accent6 4_Budget incorporated 2011-2012 last101011" xfId="164" xr:uid="{00000000-0005-0000-0000-000039020000}"/>
    <cellStyle name="20% - Accent6 5" xfId="165" xr:uid="{00000000-0005-0000-0000-00003A020000}"/>
    <cellStyle name="20% - Accent6 5 2" xfId="5455" xr:uid="{00000000-0005-0000-0000-00003B020000}"/>
    <cellStyle name="20% - Accent6 5 3" xfId="5456" xr:uid="{00000000-0005-0000-0000-00003C020000}"/>
    <cellStyle name="20% - Accent6 6" xfId="166" xr:uid="{00000000-0005-0000-0000-00003D020000}"/>
    <cellStyle name="20% - Accent6 6 2" xfId="167" xr:uid="{00000000-0005-0000-0000-00003E020000}"/>
    <cellStyle name="20% - Accent6 7" xfId="168" xr:uid="{00000000-0005-0000-0000-00003F020000}"/>
    <cellStyle name="20% - Accent6 7 2" xfId="169" xr:uid="{00000000-0005-0000-0000-000040020000}"/>
    <cellStyle name="20% - Акцент1 10" xfId="5457" xr:uid="{00000000-0005-0000-0000-000041020000}"/>
    <cellStyle name="20% - Акцент1 10 2" xfId="5458" xr:uid="{00000000-0005-0000-0000-000042020000}"/>
    <cellStyle name="20% - Акцент1 10 3" xfId="5459" xr:uid="{00000000-0005-0000-0000-000043020000}"/>
    <cellStyle name="20% - Акцент1 11" xfId="5460" xr:uid="{00000000-0005-0000-0000-000044020000}"/>
    <cellStyle name="20% - Акцент1 11 2" xfId="5461" xr:uid="{00000000-0005-0000-0000-000045020000}"/>
    <cellStyle name="20% - Акцент1 11 3" xfId="5462" xr:uid="{00000000-0005-0000-0000-000046020000}"/>
    <cellStyle name="20% - Акцент1 12" xfId="5463" xr:uid="{00000000-0005-0000-0000-000047020000}"/>
    <cellStyle name="20% - Акцент1 12 2" xfId="5464" xr:uid="{00000000-0005-0000-0000-000048020000}"/>
    <cellStyle name="20% - Акцент1 12 3" xfId="5465" xr:uid="{00000000-0005-0000-0000-000049020000}"/>
    <cellStyle name="20% - Акцент1 13" xfId="5466" xr:uid="{00000000-0005-0000-0000-00004A020000}"/>
    <cellStyle name="20% - Акцент1 13 2" xfId="5467" xr:uid="{00000000-0005-0000-0000-00004B020000}"/>
    <cellStyle name="20% - Акцент1 13 3" xfId="5468" xr:uid="{00000000-0005-0000-0000-00004C020000}"/>
    <cellStyle name="20% - Акцент1 14" xfId="5469" xr:uid="{00000000-0005-0000-0000-00004D020000}"/>
    <cellStyle name="20% - Акцент1 14 2" xfId="5470" xr:uid="{00000000-0005-0000-0000-00004E020000}"/>
    <cellStyle name="20% - Акцент1 14 3" xfId="5471" xr:uid="{00000000-0005-0000-0000-00004F020000}"/>
    <cellStyle name="20% - Акцент1 15" xfId="5472" xr:uid="{00000000-0005-0000-0000-000050020000}"/>
    <cellStyle name="20% - Акцент1 15 2" xfId="5473" xr:uid="{00000000-0005-0000-0000-000051020000}"/>
    <cellStyle name="20% - Акцент1 15 3" xfId="5474" xr:uid="{00000000-0005-0000-0000-000052020000}"/>
    <cellStyle name="20% - Акцент1 16" xfId="5475" xr:uid="{00000000-0005-0000-0000-000053020000}"/>
    <cellStyle name="20% - Акцент1 16 2" xfId="5476" xr:uid="{00000000-0005-0000-0000-000054020000}"/>
    <cellStyle name="20% - Акцент1 16 3" xfId="5477" xr:uid="{00000000-0005-0000-0000-000055020000}"/>
    <cellStyle name="20% - Акцент1 17" xfId="5478" xr:uid="{00000000-0005-0000-0000-000056020000}"/>
    <cellStyle name="20% - Акцент1 17 2" xfId="5479" xr:uid="{00000000-0005-0000-0000-000057020000}"/>
    <cellStyle name="20% - Акцент1 17 3" xfId="5480" xr:uid="{00000000-0005-0000-0000-000058020000}"/>
    <cellStyle name="20% - Акцент1 18" xfId="5481" xr:uid="{00000000-0005-0000-0000-000059020000}"/>
    <cellStyle name="20% - Акцент1 18 2" xfId="5482" xr:uid="{00000000-0005-0000-0000-00005A020000}"/>
    <cellStyle name="20% - Акцент1 18 3" xfId="5483" xr:uid="{00000000-0005-0000-0000-00005B020000}"/>
    <cellStyle name="20% - Акцент1 19" xfId="5484" xr:uid="{00000000-0005-0000-0000-00005C020000}"/>
    <cellStyle name="20% - Акцент1 19 2" xfId="5485" xr:uid="{00000000-0005-0000-0000-00005D020000}"/>
    <cellStyle name="20% - Акцент1 19 3" xfId="5486" xr:uid="{00000000-0005-0000-0000-00005E020000}"/>
    <cellStyle name="20% - Акцент1 2" xfId="170" xr:uid="{00000000-0005-0000-0000-00005F020000}"/>
    <cellStyle name="20% - Акцент1 2 2" xfId="171" xr:uid="{00000000-0005-0000-0000-000060020000}"/>
    <cellStyle name="20% - Акцент1 2 3" xfId="172" xr:uid="{00000000-0005-0000-0000-000061020000}"/>
    <cellStyle name="20% - Акцент1 2 4" xfId="173" xr:uid="{00000000-0005-0000-0000-000062020000}"/>
    <cellStyle name="20% - Акцент1 2 5" xfId="174" xr:uid="{00000000-0005-0000-0000-000063020000}"/>
    <cellStyle name="20% - Акцент1 2 6" xfId="175" xr:uid="{00000000-0005-0000-0000-000064020000}"/>
    <cellStyle name="20% - Акцент1 2 7" xfId="176" xr:uid="{00000000-0005-0000-0000-000065020000}"/>
    <cellStyle name="20% - Акцент1 2 8" xfId="177" xr:uid="{00000000-0005-0000-0000-000066020000}"/>
    <cellStyle name="20% - Акцент1 2 9" xfId="178" xr:uid="{00000000-0005-0000-0000-000067020000}"/>
    <cellStyle name="20% - Акцент1 20" xfId="5487" xr:uid="{00000000-0005-0000-0000-000068020000}"/>
    <cellStyle name="20% - Акцент1 21" xfId="5488" xr:uid="{00000000-0005-0000-0000-000069020000}"/>
    <cellStyle name="20% - Акцент1 3" xfId="179" xr:uid="{00000000-0005-0000-0000-00006A020000}"/>
    <cellStyle name="20% - Акцент1 3 2" xfId="5489" xr:uid="{00000000-0005-0000-0000-00006B020000}"/>
    <cellStyle name="20% - Акцент1 3 3" xfId="5490" xr:uid="{00000000-0005-0000-0000-00006C020000}"/>
    <cellStyle name="20% - Акцент1 4" xfId="180" xr:uid="{00000000-0005-0000-0000-00006D020000}"/>
    <cellStyle name="20% - Акцент1 4 2" xfId="181" xr:uid="{00000000-0005-0000-0000-00006E020000}"/>
    <cellStyle name="20% - Акцент1 4 3" xfId="5491" xr:uid="{00000000-0005-0000-0000-00006F020000}"/>
    <cellStyle name="20% - Акцент1 5" xfId="182" xr:uid="{00000000-0005-0000-0000-000070020000}"/>
    <cellStyle name="20% - Акцент1 5 2" xfId="5492" xr:uid="{00000000-0005-0000-0000-000071020000}"/>
    <cellStyle name="20% - Акцент1 5 3" xfId="5493" xr:uid="{00000000-0005-0000-0000-000072020000}"/>
    <cellStyle name="20% - Акцент1 6" xfId="5494" xr:uid="{00000000-0005-0000-0000-000073020000}"/>
    <cellStyle name="20% - Акцент1 6 2" xfId="5495" xr:uid="{00000000-0005-0000-0000-000074020000}"/>
    <cellStyle name="20% - Акцент1 6 3" xfId="5496" xr:uid="{00000000-0005-0000-0000-000075020000}"/>
    <cellStyle name="20% - Акцент1 7" xfId="5497" xr:uid="{00000000-0005-0000-0000-000076020000}"/>
    <cellStyle name="20% - Акцент1 7 2" xfId="5498" xr:uid="{00000000-0005-0000-0000-000077020000}"/>
    <cellStyle name="20% - Акцент1 7 3" xfId="5499" xr:uid="{00000000-0005-0000-0000-000078020000}"/>
    <cellStyle name="20% - Акцент1 8" xfId="5500" xr:uid="{00000000-0005-0000-0000-000079020000}"/>
    <cellStyle name="20% - Акцент1 8 2" xfId="5501" xr:uid="{00000000-0005-0000-0000-00007A020000}"/>
    <cellStyle name="20% - Акцент1 8 3" xfId="5502" xr:uid="{00000000-0005-0000-0000-00007B020000}"/>
    <cellStyle name="20% - Акцент1 9" xfId="5503" xr:uid="{00000000-0005-0000-0000-00007C020000}"/>
    <cellStyle name="20% - Акцент1 9 2" xfId="5504" xr:uid="{00000000-0005-0000-0000-00007D020000}"/>
    <cellStyle name="20% - Акцент1 9 3" xfId="5505" xr:uid="{00000000-0005-0000-0000-00007E020000}"/>
    <cellStyle name="20% - Акцент2 10" xfId="5506" xr:uid="{00000000-0005-0000-0000-00007F020000}"/>
    <cellStyle name="20% - Акцент2 10 2" xfId="5507" xr:uid="{00000000-0005-0000-0000-000080020000}"/>
    <cellStyle name="20% - Акцент2 10 3" xfId="5508" xr:uid="{00000000-0005-0000-0000-000081020000}"/>
    <cellStyle name="20% - Акцент2 11" xfId="5509" xr:uid="{00000000-0005-0000-0000-000082020000}"/>
    <cellStyle name="20% - Акцент2 11 2" xfId="5510" xr:uid="{00000000-0005-0000-0000-000083020000}"/>
    <cellStyle name="20% - Акцент2 11 3" xfId="5511" xr:uid="{00000000-0005-0000-0000-000084020000}"/>
    <cellStyle name="20% - Акцент2 12" xfId="5512" xr:uid="{00000000-0005-0000-0000-000085020000}"/>
    <cellStyle name="20% - Акцент2 12 2" xfId="5513" xr:uid="{00000000-0005-0000-0000-000086020000}"/>
    <cellStyle name="20% - Акцент2 12 3" xfId="5514" xr:uid="{00000000-0005-0000-0000-000087020000}"/>
    <cellStyle name="20% - Акцент2 13" xfId="5515" xr:uid="{00000000-0005-0000-0000-000088020000}"/>
    <cellStyle name="20% - Акцент2 13 2" xfId="5516" xr:uid="{00000000-0005-0000-0000-000089020000}"/>
    <cellStyle name="20% - Акцент2 13 3" xfId="5517" xr:uid="{00000000-0005-0000-0000-00008A020000}"/>
    <cellStyle name="20% - Акцент2 14" xfId="5518" xr:uid="{00000000-0005-0000-0000-00008B020000}"/>
    <cellStyle name="20% - Акцент2 14 2" xfId="5519" xr:uid="{00000000-0005-0000-0000-00008C020000}"/>
    <cellStyle name="20% - Акцент2 14 3" xfId="5520" xr:uid="{00000000-0005-0000-0000-00008D020000}"/>
    <cellStyle name="20% - Акцент2 15" xfId="5521" xr:uid="{00000000-0005-0000-0000-00008E020000}"/>
    <cellStyle name="20% - Акцент2 15 2" xfId="5522" xr:uid="{00000000-0005-0000-0000-00008F020000}"/>
    <cellStyle name="20% - Акцент2 15 3" xfId="5523" xr:uid="{00000000-0005-0000-0000-000090020000}"/>
    <cellStyle name="20% - Акцент2 16" xfId="5524" xr:uid="{00000000-0005-0000-0000-000091020000}"/>
    <cellStyle name="20% - Акцент2 16 2" xfId="5525" xr:uid="{00000000-0005-0000-0000-000092020000}"/>
    <cellStyle name="20% - Акцент2 16 3" xfId="5526" xr:uid="{00000000-0005-0000-0000-000093020000}"/>
    <cellStyle name="20% - Акцент2 17" xfId="5527" xr:uid="{00000000-0005-0000-0000-000094020000}"/>
    <cellStyle name="20% - Акцент2 17 2" xfId="5528" xr:uid="{00000000-0005-0000-0000-000095020000}"/>
    <cellStyle name="20% - Акцент2 17 3" xfId="5529" xr:uid="{00000000-0005-0000-0000-000096020000}"/>
    <cellStyle name="20% - Акцент2 18" xfId="5530" xr:uid="{00000000-0005-0000-0000-000097020000}"/>
    <cellStyle name="20% - Акцент2 18 2" xfId="5531" xr:uid="{00000000-0005-0000-0000-000098020000}"/>
    <cellStyle name="20% - Акцент2 18 3" xfId="5532" xr:uid="{00000000-0005-0000-0000-000099020000}"/>
    <cellStyle name="20% - Акцент2 19" xfId="5533" xr:uid="{00000000-0005-0000-0000-00009A020000}"/>
    <cellStyle name="20% - Акцент2 19 2" xfId="5534" xr:uid="{00000000-0005-0000-0000-00009B020000}"/>
    <cellStyle name="20% - Акцент2 19 3" xfId="5535" xr:uid="{00000000-0005-0000-0000-00009C020000}"/>
    <cellStyle name="20% - Акцент2 2" xfId="183" xr:uid="{00000000-0005-0000-0000-00009D020000}"/>
    <cellStyle name="20% - Акцент2 2 2" xfId="184" xr:uid="{00000000-0005-0000-0000-00009E020000}"/>
    <cellStyle name="20% - Акцент2 2 3" xfId="185" xr:uid="{00000000-0005-0000-0000-00009F020000}"/>
    <cellStyle name="20% - Акцент2 2 4" xfId="186" xr:uid="{00000000-0005-0000-0000-0000A0020000}"/>
    <cellStyle name="20% - Акцент2 2 5" xfId="187" xr:uid="{00000000-0005-0000-0000-0000A1020000}"/>
    <cellStyle name="20% - Акцент2 2 6" xfId="188" xr:uid="{00000000-0005-0000-0000-0000A2020000}"/>
    <cellStyle name="20% - Акцент2 2 7" xfId="189" xr:uid="{00000000-0005-0000-0000-0000A3020000}"/>
    <cellStyle name="20% - Акцент2 2 8" xfId="190" xr:uid="{00000000-0005-0000-0000-0000A4020000}"/>
    <cellStyle name="20% - Акцент2 2 9" xfId="191" xr:uid="{00000000-0005-0000-0000-0000A5020000}"/>
    <cellStyle name="20% - Акцент2 20" xfId="5536" xr:uid="{00000000-0005-0000-0000-0000A6020000}"/>
    <cellStyle name="20% - Акцент2 21" xfId="5537" xr:uid="{00000000-0005-0000-0000-0000A7020000}"/>
    <cellStyle name="20% - Акцент2 3" xfId="192" xr:uid="{00000000-0005-0000-0000-0000A8020000}"/>
    <cellStyle name="20% - Акцент2 3 2" xfId="5538" xr:uid="{00000000-0005-0000-0000-0000A9020000}"/>
    <cellStyle name="20% - Акцент2 3 3" xfId="5539" xr:uid="{00000000-0005-0000-0000-0000AA020000}"/>
    <cellStyle name="20% - Акцент2 4" xfId="193" xr:uid="{00000000-0005-0000-0000-0000AB020000}"/>
    <cellStyle name="20% - Акцент2 4 2" xfId="194" xr:uid="{00000000-0005-0000-0000-0000AC020000}"/>
    <cellStyle name="20% - Акцент2 4 3" xfId="5540" xr:uid="{00000000-0005-0000-0000-0000AD020000}"/>
    <cellStyle name="20% - Акцент2 5" xfId="195" xr:uid="{00000000-0005-0000-0000-0000AE020000}"/>
    <cellStyle name="20% - Акцент2 5 2" xfId="5541" xr:uid="{00000000-0005-0000-0000-0000AF020000}"/>
    <cellStyle name="20% - Акцент2 5 3" xfId="5542" xr:uid="{00000000-0005-0000-0000-0000B0020000}"/>
    <cellStyle name="20% - Акцент2 6" xfId="5543" xr:uid="{00000000-0005-0000-0000-0000B1020000}"/>
    <cellStyle name="20% - Акцент2 6 2" xfId="5544" xr:uid="{00000000-0005-0000-0000-0000B2020000}"/>
    <cellStyle name="20% - Акцент2 6 3" xfId="5545" xr:uid="{00000000-0005-0000-0000-0000B3020000}"/>
    <cellStyle name="20% - Акцент2 7" xfId="5546" xr:uid="{00000000-0005-0000-0000-0000B4020000}"/>
    <cellStyle name="20% - Акцент2 7 2" xfId="5547" xr:uid="{00000000-0005-0000-0000-0000B5020000}"/>
    <cellStyle name="20% - Акцент2 7 3" xfId="5548" xr:uid="{00000000-0005-0000-0000-0000B6020000}"/>
    <cellStyle name="20% - Акцент2 8" xfId="5549" xr:uid="{00000000-0005-0000-0000-0000B7020000}"/>
    <cellStyle name="20% - Акцент2 8 2" xfId="5550" xr:uid="{00000000-0005-0000-0000-0000B8020000}"/>
    <cellStyle name="20% - Акцент2 8 3" xfId="5551" xr:uid="{00000000-0005-0000-0000-0000B9020000}"/>
    <cellStyle name="20% - Акцент2 9" xfId="5552" xr:uid="{00000000-0005-0000-0000-0000BA020000}"/>
    <cellStyle name="20% - Акцент2 9 2" xfId="5553" xr:uid="{00000000-0005-0000-0000-0000BB020000}"/>
    <cellStyle name="20% - Акцент2 9 3" xfId="5554" xr:uid="{00000000-0005-0000-0000-0000BC020000}"/>
    <cellStyle name="20% - Акцент3 10" xfId="5555" xr:uid="{00000000-0005-0000-0000-0000BD020000}"/>
    <cellStyle name="20% - Акцент3 10 2" xfId="5556" xr:uid="{00000000-0005-0000-0000-0000BE020000}"/>
    <cellStyle name="20% - Акцент3 10 3" xfId="5557" xr:uid="{00000000-0005-0000-0000-0000BF020000}"/>
    <cellStyle name="20% - Акцент3 11" xfId="5558" xr:uid="{00000000-0005-0000-0000-0000C0020000}"/>
    <cellStyle name="20% - Акцент3 11 2" xfId="5559" xr:uid="{00000000-0005-0000-0000-0000C1020000}"/>
    <cellStyle name="20% - Акцент3 11 3" xfId="5560" xr:uid="{00000000-0005-0000-0000-0000C2020000}"/>
    <cellStyle name="20% - Акцент3 12" xfId="5561" xr:uid="{00000000-0005-0000-0000-0000C3020000}"/>
    <cellStyle name="20% - Акцент3 12 2" xfId="5562" xr:uid="{00000000-0005-0000-0000-0000C4020000}"/>
    <cellStyle name="20% - Акцент3 12 3" xfId="5563" xr:uid="{00000000-0005-0000-0000-0000C5020000}"/>
    <cellStyle name="20% - Акцент3 13" xfId="5564" xr:uid="{00000000-0005-0000-0000-0000C6020000}"/>
    <cellStyle name="20% - Акцент3 13 2" xfId="5565" xr:uid="{00000000-0005-0000-0000-0000C7020000}"/>
    <cellStyle name="20% - Акцент3 13 3" xfId="5566" xr:uid="{00000000-0005-0000-0000-0000C8020000}"/>
    <cellStyle name="20% - Акцент3 14" xfId="5567" xr:uid="{00000000-0005-0000-0000-0000C9020000}"/>
    <cellStyle name="20% - Акцент3 14 2" xfId="5568" xr:uid="{00000000-0005-0000-0000-0000CA020000}"/>
    <cellStyle name="20% - Акцент3 14 3" xfId="5569" xr:uid="{00000000-0005-0000-0000-0000CB020000}"/>
    <cellStyle name="20% - Акцент3 15" xfId="5570" xr:uid="{00000000-0005-0000-0000-0000CC020000}"/>
    <cellStyle name="20% - Акцент3 15 2" xfId="5571" xr:uid="{00000000-0005-0000-0000-0000CD020000}"/>
    <cellStyle name="20% - Акцент3 15 3" xfId="5572" xr:uid="{00000000-0005-0000-0000-0000CE020000}"/>
    <cellStyle name="20% - Акцент3 16" xfId="5573" xr:uid="{00000000-0005-0000-0000-0000CF020000}"/>
    <cellStyle name="20% - Акцент3 16 2" xfId="5574" xr:uid="{00000000-0005-0000-0000-0000D0020000}"/>
    <cellStyle name="20% - Акцент3 16 3" xfId="5575" xr:uid="{00000000-0005-0000-0000-0000D1020000}"/>
    <cellStyle name="20% - Акцент3 17" xfId="5576" xr:uid="{00000000-0005-0000-0000-0000D2020000}"/>
    <cellStyle name="20% - Акцент3 17 2" xfId="5577" xr:uid="{00000000-0005-0000-0000-0000D3020000}"/>
    <cellStyle name="20% - Акцент3 17 3" xfId="5578" xr:uid="{00000000-0005-0000-0000-0000D4020000}"/>
    <cellStyle name="20% - Акцент3 18" xfId="5579" xr:uid="{00000000-0005-0000-0000-0000D5020000}"/>
    <cellStyle name="20% - Акцент3 18 2" xfId="5580" xr:uid="{00000000-0005-0000-0000-0000D6020000}"/>
    <cellStyle name="20% - Акцент3 18 3" xfId="5581" xr:uid="{00000000-0005-0000-0000-0000D7020000}"/>
    <cellStyle name="20% - Акцент3 19" xfId="5582" xr:uid="{00000000-0005-0000-0000-0000D8020000}"/>
    <cellStyle name="20% - Акцент3 19 2" xfId="5583" xr:uid="{00000000-0005-0000-0000-0000D9020000}"/>
    <cellStyle name="20% - Акцент3 19 3" xfId="5584" xr:uid="{00000000-0005-0000-0000-0000DA020000}"/>
    <cellStyle name="20% - Акцент3 2" xfId="196" xr:uid="{00000000-0005-0000-0000-0000DB020000}"/>
    <cellStyle name="20% - Акцент3 2 2" xfId="197" xr:uid="{00000000-0005-0000-0000-0000DC020000}"/>
    <cellStyle name="20% - Акцент3 2 3" xfId="198" xr:uid="{00000000-0005-0000-0000-0000DD020000}"/>
    <cellStyle name="20% - Акцент3 2 4" xfId="199" xr:uid="{00000000-0005-0000-0000-0000DE020000}"/>
    <cellStyle name="20% - Акцент3 2 5" xfId="200" xr:uid="{00000000-0005-0000-0000-0000DF020000}"/>
    <cellStyle name="20% - Акцент3 2 6" xfId="201" xr:uid="{00000000-0005-0000-0000-0000E0020000}"/>
    <cellStyle name="20% - Акцент3 2 7" xfId="202" xr:uid="{00000000-0005-0000-0000-0000E1020000}"/>
    <cellStyle name="20% - Акцент3 2 8" xfId="203" xr:uid="{00000000-0005-0000-0000-0000E2020000}"/>
    <cellStyle name="20% - Акцент3 2 9" xfId="204" xr:uid="{00000000-0005-0000-0000-0000E3020000}"/>
    <cellStyle name="20% - Акцент3 20" xfId="5585" xr:uid="{00000000-0005-0000-0000-0000E4020000}"/>
    <cellStyle name="20% - Акцент3 21" xfId="5586" xr:uid="{00000000-0005-0000-0000-0000E5020000}"/>
    <cellStyle name="20% - Акцент3 3" xfId="205" xr:uid="{00000000-0005-0000-0000-0000E6020000}"/>
    <cellStyle name="20% - Акцент3 3 2" xfId="5587" xr:uid="{00000000-0005-0000-0000-0000E7020000}"/>
    <cellStyle name="20% - Акцент3 3 3" xfId="5588" xr:uid="{00000000-0005-0000-0000-0000E8020000}"/>
    <cellStyle name="20% - Акцент3 4" xfId="206" xr:uid="{00000000-0005-0000-0000-0000E9020000}"/>
    <cellStyle name="20% - Акцент3 4 2" xfId="207" xr:uid="{00000000-0005-0000-0000-0000EA020000}"/>
    <cellStyle name="20% - Акцент3 4 3" xfId="5589" xr:uid="{00000000-0005-0000-0000-0000EB020000}"/>
    <cellStyle name="20% - Акцент3 5" xfId="208" xr:uid="{00000000-0005-0000-0000-0000EC020000}"/>
    <cellStyle name="20% - Акцент3 5 2" xfId="5590" xr:uid="{00000000-0005-0000-0000-0000ED020000}"/>
    <cellStyle name="20% - Акцент3 5 3" xfId="5591" xr:uid="{00000000-0005-0000-0000-0000EE020000}"/>
    <cellStyle name="20% - Акцент3 6" xfId="5592" xr:uid="{00000000-0005-0000-0000-0000EF020000}"/>
    <cellStyle name="20% - Акцент3 6 2" xfId="5593" xr:uid="{00000000-0005-0000-0000-0000F0020000}"/>
    <cellStyle name="20% - Акцент3 6 3" xfId="5594" xr:uid="{00000000-0005-0000-0000-0000F1020000}"/>
    <cellStyle name="20% - Акцент3 7" xfId="5595" xr:uid="{00000000-0005-0000-0000-0000F2020000}"/>
    <cellStyle name="20% - Акцент3 7 2" xfId="5596" xr:uid="{00000000-0005-0000-0000-0000F3020000}"/>
    <cellStyle name="20% - Акцент3 7 3" xfId="5597" xr:uid="{00000000-0005-0000-0000-0000F4020000}"/>
    <cellStyle name="20% - Акцент3 8" xfId="5598" xr:uid="{00000000-0005-0000-0000-0000F5020000}"/>
    <cellStyle name="20% - Акцент3 8 2" xfId="5599" xr:uid="{00000000-0005-0000-0000-0000F6020000}"/>
    <cellStyle name="20% - Акцент3 8 3" xfId="5600" xr:uid="{00000000-0005-0000-0000-0000F7020000}"/>
    <cellStyle name="20% - Акцент3 9" xfId="5601" xr:uid="{00000000-0005-0000-0000-0000F8020000}"/>
    <cellStyle name="20% - Акцент3 9 2" xfId="5602" xr:uid="{00000000-0005-0000-0000-0000F9020000}"/>
    <cellStyle name="20% - Акцент3 9 3" xfId="5603" xr:uid="{00000000-0005-0000-0000-0000FA020000}"/>
    <cellStyle name="20% - Акцент4 10" xfId="5604" xr:uid="{00000000-0005-0000-0000-0000FB020000}"/>
    <cellStyle name="20% - Акцент4 10 2" xfId="5605" xr:uid="{00000000-0005-0000-0000-0000FC020000}"/>
    <cellStyle name="20% - Акцент4 10 3" xfId="5606" xr:uid="{00000000-0005-0000-0000-0000FD020000}"/>
    <cellStyle name="20% - Акцент4 11" xfId="5607" xr:uid="{00000000-0005-0000-0000-0000FE020000}"/>
    <cellStyle name="20% - Акцент4 11 2" xfId="5608" xr:uid="{00000000-0005-0000-0000-0000FF020000}"/>
    <cellStyle name="20% - Акцент4 11 3" xfId="5609" xr:uid="{00000000-0005-0000-0000-000000030000}"/>
    <cellStyle name="20% - Акцент4 12" xfId="5610" xr:uid="{00000000-0005-0000-0000-000001030000}"/>
    <cellStyle name="20% - Акцент4 12 2" xfId="5611" xr:uid="{00000000-0005-0000-0000-000002030000}"/>
    <cellStyle name="20% - Акцент4 12 3" xfId="5612" xr:uid="{00000000-0005-0000-0000-000003030000}"/>
    <cellStyle name="20% - Акцент4 13" xfId="5613" xr:uid="{00000000-0005-0000-0000-000004030000}"/>
    <cellStyle name="20% - Акцент4 13 2" xfId="5614" xr:uid="{00000000-0005-0000-0000-000005030000}"/>
    <cellStyle name="20% - Акцент4 13 3" xfId="5615" xr:uid="{00000000-0005-0000-0000-000006030000}"/>
    <cellStyle name="20% - Акцент4 14" xfId="5616" xr:uid="{00000000-0005-0000-0000-000007030000}"/>
    <cellStyle name="20% - Акцент4 14 2" xfId="5617" xr:uid="{00000000-0005-0000-0000-000008030000}"/>
    <cellStyle name="20% - Акцент4 14 3" xfId="5618" xr:uid="{00000000-0005-0000-0000-000009030000}"/>
    <cellStyle name="20% - Акцент4 15" xfId="5619" xr:uid="{00000000-0005-0000-0000-00000A030000}"/>
    <cellStyle name="20% - Акцент4 15 2" xfId="5620" xr:uid="{00000000-0005-0000-0000-00000B030000}"/>
    <cellStyle name="20% - Акцент4 15 3" xfId="5621" xr:uid="{00000000-0005-0000-0000-00000C030000}"/>
    <cellStyle name="20% - Акцент4 16" xfId="5622" xr:uid="{00000000-0005-0000-0000-00000D030000}"/>
    <cellStyle name="20% - Акцент4 16 2" xfId="5623" xr:uid="{00000000-0005-0000-0000-00000E030000}"/>
    <cellStyle name="20% - Акцент4 16 3" xfId="5624" xr:uid="{00000000-0005-0000-0000-00000F030000}"/>
    <cellStyle name="20% - Акцент4 17" xfId="5625" xr:uid="{00000000-0005-0000-0000-000010030000}"/>
    <cellStyle name="20% - Акцент4 17 2" xfId="5626" xr:uid="{00000000-0005-0000-0000-000011030000}"/>
    <cellStyle name="20% - Акцент4 17 3" xfId="5627" xr:uid="{00000000-0005-0000-0000-000012030000}"/>
    <cellStyle name="20% - Акцент4 18" xfId="5628" xr:uid="{00000000-0005-0000-0000-000013030000}"/>
    <cellStyle name="20% - Акцент4 18 2" xfId="5629" xr:uid="{00000000-0005-0000-0000-000014030000}"/>
    <cellStyle name="20% - Акцент4 18 3" xfId="5630" xr:uid="{00000000-0005-0000-0000-000015030000}"/>
    <cellStyle name="20% - Акцент4 19" xfId="5631" xr:uid="{00000000-0005-0000-0000-000016030000}"/>
    <cellStyle name="20% - Акцент4 19 2" xfId="5632" xr:uid="{00000000-0005-0000-0000-000017030000}"/>
    <cellStyle name="20% - Акцент4 19 3" xfId="5633" xr:uid="{00000000-0005-0000-0000-000018030000}"/>
    <cellStyle name="20% - Акцент4 2" xfId="209" xr:uid="{00000000-0005-0000-0000-000019030000}"/>
    <cellStyle name="20% - Акцент4 2 2" xfId="210" xr:uid="{00000000-0005-0000-0000-00001A030000}"/>
    <cellStyle name="20% - Акцент4 2 3" xfId="211" xr:uid="{00000000-0005-0000-0000-00001B030000}"/>
    <cellStyle name="20% - Акцент4 2 4" xfId="212" xr:uid="{00000000-0005-0000-0000-00001C030000}"/>
    <cellStyle name="20% - Акцент4 2 5" xfId="213" xr:uid="{00000000-0005-0000-0000-00001D030000}"/>
    <cellStyle name="20% - Акцент4 2 6" xfId="214" xr:uid="{00000000-0005-0000-0000-00001E030000}"/>
    <cellStyle name="20% - Акцент4 2 7" xfId="215" xr:uid="{00000000-0005-0000-0000-00001F030000}"/>
    <cellStyle name="20% - Акцент4 2 8" xfId="216" xr:uid="{00000000-0005-0000-0000-000020030000}"/>
    <cellStyle name="20% - Акцент4 2 9" xfId="217" xr:uid="{00000000-0005-0000-0000-000021030000}"/>
    <cellStyle name="20% - Акцент4 20" xfId="5634" xr:uid="{00000000-0005-0000-0000-000022030000}"/>
    <cellStyle name="20% - Акцент4 21" xfId="5635" xr:uid="{00000000-0005-0000-0000-000023030000}"/>
    <cellStyle name="20% - Акцент4 3" xfId="218" xr:uid="{00000000-0005-0000-0000-000024030000}"/>
    <cellStyle name="20% - Акцент4 3 2" xfId="5636" xr:uid="{00000000-0005-0000-0000-000025030000}"/>
    <cellStyle name="20% - Акцент4 3 3" xfId="5637" xr:uid="{00000000-0005-0000-0000-000026030000}"/>
    <cellStyle name="20% - Акцент4 4" xfId="219" xr:uid="{00000000-0005-0000-0000-000027030000}"/>
    <cellStyle name="20% - Акцент4 4 2" xfId="220" xr:uid="{00000000-0005-0000-0000-000028030000}"/>
    <cellStyle name="20% - Акцент4 4 3" xfId="5638" xr:uid="{00000000-0005-0000-0000-000029030000}"/>
    <cellStyle name="20% - Акцент4 5" xfId="221" xr:uid="{00000000-0005-0000-0000-00002A030000}"/>
    <cellStyle name="20% - Акцент4 5 2" xfId="5639" xr:uid="{00000000-0005-0000-0000-00002B030000}"/>
    <cellStyle name="20% - Акцент4 5 3" xfId="5640" xr:uid="{00000000-0005-0000-0000-00002C030000}"/>
    <cellStyle name="20% - Акцент4 6" xfId="5641" xr:uid="{00000000-0005-0000-0000-00002D030000}"/>
    <cellStyle name="20% - Акцент4 6 2" xfId="5642" xr:uid="{00000000-0005-0000-0000-00002E030000}"/>
    <cellStyle name="20% - Акцент4 6 3" xfId="5643" xr:uid="{00000000-0005-0000-0000-00002F030000}"/>
    <cellStyle name="20% - Акцент4 7" xfId="5644" xr:uid="{00000000-0005-0000-0000-000030030000}"/>
    <cellStyle name="20% - Акцент4 7 2" xfId="5645" xr:uid="{00000000-0005-0000-0000-000031030000}"/>
    <cellStyle name="20% - Акцент4 7 3" xfId="5646" xr:uid="{00000000-0005-0000-0000-000032030000}"/>
    <cellStyle name="20% - Акцент4 8" xfId="5647" xr:uid="{00000000-0005-0000-0000-000033030000}"/>
    <cellStyle name="20% - Акцент4 8 2" xfId="5648" xr:uid="{00000000-0005-0000-0000-000034030000}"/>
    <cellStyle name="20% - Акцент4 8 3" xfId="5649" xr:uid="{00000000-0005-0000-0000-000035030000}"/>
    <cellStyle name="20% - Акцент4 9" xfId="5650" xr:uid="{00000000-0005-0000-0000-000036030000}"/>
    <cellStyle name="20% - Акцент4 9 2" xfId="5651" xr:uid="{00000000-0005-0000-0000-000037030000}"/>
    <cellStyle name="20% - Акцент4 9 3" xfId="5652" xr:uid="{00000000-0005-0000-0000-000038030000}"/>
    <cellStyle name="20% - Акцент5 2" xfId="222" xr:uid="{00000000-0005-0000-0000-000039030000}"/>
    <cellStyle name="20% - Акцент5 2 2" xfId="223" xr:uid="{00000000-0005-0000-0000-00003A030000}"/>
    <cellStyle name="20% - Акцент5 2 3" xfId="224" xr:uid="{00000000-0005-0000-0000-00003B030000}"/>
    <cellStyle name="20% - Акцент5 2 4" xfId="225" xr:uid="{00000000-0005-0000-0000-00003C030000}"/>
    <cellStyle name="20% - Акцент5 2 5" xfId="226" xr:uid="{00000000-0005-0000-0000-00003D030000}"/>
    <cellStyle name="20% - Акцент5 2 6" xfId="227" xr:uid="{00000000-0005-0000-0000-00003E030000}"/>
    <cellStyle name="20% - Акцент5 2 7" xfId="228" xr:uid="{00000000-0005-0000-0000-00003F030000}"/>
    <cellStyle name="20% - Акцент5 2 8" xfId="229" xr:uid="{00000000-0005-0000-0000-000040030000}"/>
    <cellStyle name="20% - Акцент5 2 9" xfId="230" xr:uid="{00000000-0005-0000-0000-000041030000}"/>
    <cellStyle name="20% - Акцент5 3" xfId="231" xr:uid="{00000000-0005-0000-0000-000042030000}"/>
    <cellStyle name="20% - Акцент5 3 2" xfId="5653" xr:uid="{00000000-0005-0000-0000-000043030000}"/>
    <cellStyle name="20% - Акцент5 3 3" xfId="5654" xr:uid="{00000000-0005-0000-0000-000044030000}"/>
    <cellStyle name="20% - Акцент5 4" xfId="5655" xr:uid="{00000000-0005-0000-0000-000045030000}"/>
    <cellStyle name="20% - Акцент5 5" xfId="5656" xr:uid="{00000000-0005-0000-0000-000046030000}"/>
    <cellStyle name="20% - Акцент6 2" xfId="232" xr:uid="{00000000-0005-0000-0000-000047030000}"/>
    <cellStyle name="20% - Акцент6 2 2" xfId="233" xr:uid="{00000000-0005-0000-0000-000048030000}"/>
    <cellStyle name="20% - Акцент6 2 3" xfId="234" xr:uid="{00000000-0005-0000-0000-000049030000}"/>
    <cellStyle name="20% - Акцент6 2 4" xfId="235" xr:uid="{00000000-0005-0000-0000-00004A030000}"/>
    <cellStyle name="20% - Акцент6 2 5" xfId="236" xr:uid="{00000000-0005-0000-0000-00004B030000}"/>
    <cellStyle name="20% - Акцент6 2 6" xfId="237" xr:uid="{00000000-0005-0000-0000-00004C030000}"/>
    <cellStyle name="20% - Акцент6 2 7" xfId="238" xr:uid="{00000000-0005-0000-0000-00004D030000}"/>
    <cellStyle name="20% - Акцент6 2 8" xfId="239" xr:uid="{00000000-0005-0000-0000-00004E030000}"/>
    <cellStyle name="20% - Акцент6 2 9" xfId="240" xr:uid="{00000000-0005-0000-0000-00004F030000}"/>
    <cellStyle name="20% - Акцент6 3" xfId="241" xr:uid="{00000000-0005-0000-0000-000050030000}"/>
    <cellStyle name="20% - Акцент6 3 2" xfId="5657" xr:uid="{00000000-0005-0000-0000-000051030000}"/>
    <cellStyle name="20% - Акцент6 3 3" xfId="5658" xr:uid="{00000000-0005-0000-0000-000052030000}"/>
    <cellStyle name="20% - Акцент6 4" xfId="5659" xr:uid="{00000000-0005-0000-0000-000053030000}"/>
    <cellStyle name="20% - Акцент6 5" xfId="5660" xr:uid="{00000000-0005-0000-0000-000054030000}"/>
    <cellStyle name="40% - Accent1" xfId="242" xr:uid="{00000000-0005-0000-0000-000055030000}"/>
    <cellStyle name="40% - Accent1 2" xfId="243" xr:uid="{00000000-0005-0000-0000-000056030000}"/>
    <cellStyle name="40% - Accent1 2 10" xfId="244" xr:uid="{00000000-0005-0000-0000-000057030000}"/>
    <cellStyle name="40% - Accent1 2 10 2" xfId="5661" xr:uid="{00000000-0005-0000-0000-000058030000}"/>
    <cellStyle name="40% - Accent1 2 10 3" xfId="5662" xr:uid="{00000000-0005-0000-0000-000059030000}"/>
    <cellStyle name="40% - Accent1 2 10 4" xfId="5663" xr:uid="{00000000-0005-0000-0000-00005A030000}"/>
    <cellStyle name="40% - Accent1 2 11" xfId="5664" xr:uid="{00000000-0005-0000-0000-00005B030000}"/>
    <cellStyle name="40% - Accent1 2 11 2" xfId="5665" xr:uid="{00000000-0005-0000-0000-00005C030000}"/>
    <cellStyle name="40% - Accent1 2 11 3" xfId="5666" xr:uid="{00000000-0005-0000-0000-00005D030000}"/>
    <cellStyle name="40% - Accent1 2 12" xfId="5667" xr:uid="{00000000-0005-0000-0000-00005E030000}"/>
    <cellStyle name="40% - Accent1 2 12 2" xfId="5668" xr:uid="{00000000-0005-0000-0000-00005F030000}"/>
    <cellStyle name="40% - Accent1 2 12 3" xfId="5669" xr:uid="{00000000-0005-0000-0000-000060030000}"/>
    <cellStyle name="40% - Accent1 2 13" xfId="5670" xr:uid="{00000000-0005-0000-0000-000061030000}"/>
    <cellStyle name="40% - Accent1 2 13 2" xfId="5671" xr:uid="{00000000-0005-0000-0000-000062030000}"/>
    <cellStyle name="40% - Accent1 2 13 3" xfId="5672" xr:uid="{00000000-0005-0000-0000-000063030000}"/>
    <cellStyle name="40% - Accent1 2 14" xfId="5673" xr:uid="{00000000-0005-0000-0000-000064030000}"/>
    <cellStyle name="40% - Accent1 2 14 2" xfId="5674" xr:uid="{00000000-0005-0000-0000-000065030000}"/>
    <cellStyle name="40% - Accent1 2 14 3" xfId="5675" xr:uid="{00000000-0005-0000-0000-000066030000}"/>
    <cellStyle name="40% - Accent1 2 15" xfId="5676" xr:uid="{00000000-0005-0000-0000-000067030000}"/>
    <cellStyle name="40% - Accent1 2 15 2" xfId="5677" xr:uid="{00000000-0005-0000-0000-000068030000}"/>
    <cellStyle name="40% - Accent1 2 15 3" xfId="5678" xr:uid="{00000000-0005-0000-0000-000069030000}"/>
    <cellStyle name="40% - Accent1 2 16" xfId="5679" xr:uid="{00000000-0005-0000-0000-00006A030000}"/>
    <cellStyle name="40% - Accent1 2 16 2" xfId="5680" xr:uid="{00000000-0005-0000-0000-00006B030000}"/>
    <cellStyle name="40% - Accent1 2 16 3" xfId="5681" xr:uid="{00000000-0005-0000-0000-00006C030000}"/>
    <cellStyle name="40% - Accent1 2 17" xfId="5682" xr:uid="{00000000-0005-0000-0000-00006D030000}"/>
    <cellStyle name="40% - Accent1 2 17 2" xfId="5683" xr:uid="{00000000-0005-0000-0000-00006E030000}"/>
    <cellStyle name="40% - Accent1 2 17 3" xfId="5684" xr:uid="{00000000-0005-0000-0000-00006F030000}"/>
    <cellStyle name="40% - Accent1 2 18" xfId="5685" xr:uid="{00000000-0005-0000-0000-000070030000}"/>
    <cellStyle name="40% - Accent1 2 18 2" xfId="5686" xr:uid="{00000000-0005-0000-0000-000071030000}"/>
    <cellStyle name="40% - Accent1 2 18 3" xfId="5687" xr:uid="{00000000-0005-0000-0000-000072030000}"/>
    <cellStyle name="40% - Accent1 2 19" xfId="5688" xr:uid="{00000000-0005-0000-0000-000073030000}"/>
    <cellStyle name="40% - Accent1 2 2" xfId="245" xr:uid="{00000000-0005-0000-0000-000074030000}"/>
    <cellStyle name="40% - Accent1 2 2 2" xfId="5689" xr:uid="{00000000-0005-0000-0000-000075030000}"/>
    <cellStyle name="40% - Accent1 2 2 3" xfId="5690" xr:uid="{00000000-0005-0000-0000-000076030000}"/>
    <cellStyle name="40% - Accent1 2 20" xfId="5691" xr:uid="{00000000-0005-0000-0000-000077030000}"/>
    <cellStyle name="40% - Accent1 2 21" xfId="5692" xr:uid="{00000000-0005-0000-0000-000078030000}"/>
    <cellStyle name="40% - Accent1 2 22" xfId="5693" xr:uid="{00000000-0005-0000-0000-000079030000}"/>
    <cellStyle name="40% - Accent1 2 23" xfId="5694" xr:uid="{00000000-0005-0000-0000-00007A030000}"/>
    <cellStyle name="40% - Accent1 2 24" xfId="5695" xr:uid="{00000000-0005-0000-0000-00007B030000}"/>
    <cellStyle name="40% - Accent1 2 25" xfId="5696" xr:uid="{00000000-0005-0000-0000-00007C030000}"/>
    <cellStyle name="40% - Accent1 2 26" xfId="5697" xr:uid="{00000000-0005-0000-0000-00007D030000}"/>
    <cellStyle name="40% - Accent1 2 27" xfId="5698" xr:uid="{00000000-0005-0000-0000-00007E030000}"/>
    <cellStyle name="40% - Accent1 2 28" xfId="5699" xr:uid="{00000000-0005-0000-0000-00007F030000}"/>
    <cellStyle name="40% - Accent1 2 3" xfId="246" xr:uid="{00000000-0005-0000-0000-000080030000}"/>
    <cellStyle name="40% - Accent1 2 3 10" xfId="5700" xr:uid="{00000000-0005-0000-0000-000081030000}"/>
    <cellStyle name="40% - Accent1 2 3 2" xfId="247" xr:uid="{00000000-0005-0000-0000-000082030000}"/>
    <cellStyle name="40% - Accent1 2 3 2 2" xfId="5701" xr:uid="{00000000-0005-0000-0000-000083030000}"/>
    <cellStyle name="40% - Accent1 2 3 3" xfId="248" xr:uid="{00000000-0005-0000-0000-000084030000}"/>
    <cellStyle name="40% - Accent1 2 3 3 2" xfId="5702" xr:uid="{00000000-0005-0000-0000-000085030000}"/>
    <cellStyle name="40% - Accent1 2 3 4" xfId="249" xr:uid="{00000000-0005-0000-0000-000086030000}"/>
    <cellStyle name="40% - Accent1 2 3 4 2" xfId="5703" xr:uid="{00000000-0005-0000-0000-000087030000}"/>
    <cellStyle name="40% - Accent1 2 3 5" xfId="250" xr:uid="{00000000-0005-0000-0000-000088030000}"/>
    <cellStyle name="40% - Accent1 2 3 5 2" xfId="5704" xr:uid="{00000000-0005-0000-0000-000089030000}"/>
    <cellStyle name="40% - Accent1 2 3 6" xfId="251" xr:uid="{00000000-0005-0000-0000-00008A030000}"/>
    <cellStyle name="40% - Accent1 2 3 6 2" xfId="5705" xr:uid="{00000000-0005-0000-0000-00008B030000}"/>
    <cellStyle name="40% - Accent1 2 3 7" xfId="252" xr:uid="{00000000-0005-0000-0000-00008C030000}"/>
    <cellStyle name="40% - Accent1 2 3 7 2" xfId="5706" xr:uid="{00000000-0005-0000-0000-00008D030000}"/>
    <cellStyle name="40% - Accent1 2 3 8" xfId="253" xr:uid="{00000000-0005-0000-0000-00008E030000}"/>
    <cellStyle name="40% - Accent1 2 3 8 2" xfId="5707" xr:uid="{00000000-0005-0000-0000-00008F030000}"/>
    <cellStyle name="40% - Accent1 2 3 9" xfId="5708" xr:uid="{00000000-0005-0000-0000-000090030000}"/>
    <cellStyle name="40% - Accent1 2 4" xfId="254" xr:uid="{00000000-0005-0000-0000-000091030000}"/>
    <cellStyle name="40% - Accent1 2 4 10" xfId="5709" xr:uid="{00000000-0005-0000-0000-000092030000}"/>
    <cellStyle name="40% - Accent1 2 4 11" xfId="5710" xr:uid="{00000000-0005-0000-0000-000093030000}"/>
    <cellStyle name="40% - Accent1 2 4 2" xfId="5711" xr:uid="{00000000-0005-0000-0000-000094030000}"/>
    <cellStyle name="40% - Accent1 2 4 2 2" xfId="5712" xr:uid="{00000000-0005-0000-0000-000095030000}"/>
    <cellStyle name="40% - Accent1 2 4 3" xfId="5713" xr:uid="{00000000-0005-0000-0000-000096030000}"/>
    <cellStyle name="40% - Accent1 2 4 4" xfId="5714" xr:uid="{00000000-0005-0000-0000-000097030000}"/>
    <cellStyle name="40% - Accent1 2 4 5" xfId="5715" xr:uid="{00000000-0005-0000-0000-000098030000}"/>
    <cellStyle name="40% - Accent1 2 4 6" xfId="5716" xr:uid="{00000000-0005-0000-0000-000099030000}"/>
    <cellStyle name="40% - Accent1 2 4 7" xfId="5717" xr:uid="{00000000-0005-0000-0000-00009A030000}"/>
    <cellStyle name="40% - Accent1 2 4 8" xfId="5718" xr:uid="{00000000-0005-0000-0000-00009B030000}"/>
    <cellStyle name="40% - Accent1 2 4 9" xfId="5719" xr:uid="{00000000-0005-0000-0000-00009C030000}"/>
    <cellStyle name="40% - Accent1 2 5" xfId="255" xr:uid="{00000000-0005-0000-0000-00009D030000}"/>
    <cellStyle name="40% - Accent1 2 5 10" xfId="5720" xr:uid="{00000000-0005-0000-0000-00009E030000}"/>
    <cellStyle name="40% - Accent1 2 5 11" xfId="5721" xr:uid="{00000000-0005-0000-0000-00009F030000}"/>
    <cellStyle name="40% - Accent1 2 5 2" xfId="5722" xr:uid="{00000000-0005-0000-0000-0000A0030000}"/>
    <cellStyle name="40% - Accent1 2 5 2 2" xfId="5723" xr:uid="{00000000-0005-0000-0000-0000A1030000}"/>
    <cellStyle name="40% - Accent1 2 5 3" xfId="5724" xr:uid="{00000000-0005-0000-0000-0000A2030000}"/>
    <cellStyle name="40% - Accent1 2 5 4" xfId="5725" xr:uid="{00000000-0005-0000-0000-0000A3030000}"/>
    <cellStyle name="40% - Accent1 2 5 5" xfId="5726" xr:uid="{00000000-0005-0000-0000-0000A4030000}"/>
    <cellStyle name="40% - Accent1 2 5 6" xfId="5727" xr:uid="{00000000-0005-0000-0000-0000A5030000}"/>
    <cellStyle name="40% - Accent1 2 5 7" xfId="5728" xr:uid="{00000000-0005-0000-0000-0000A6030000}"/>
    <cellStyle name="40% - Accent1 2 5 8" xfId="5729" xr:uid="{00000000-0005-0000-0000-0000A7030000}"/>
    <cellStyle name="40% - Accent1 2 5 9" xfId="5730" xr:uid="{00000000-0005-0000-0000-0000A8030000}"/>
    <cellStyle name="40% - Accent1 2 6" xfId="256" xr:uid="{00000000-0005-0000-0000-0000A9030000}"/>
    <cellStyle name="40% - Accent1 2 6 2" xfId="5731" xr:uid="{00000000-0005-0000-0000-0000AA030000}"/>
    <cellStyle name="40% - Accent1 2 6 3" xfId="5732" xr:uid="{00000000-0005-0000-0000-0000AB030000}"/>
    <cellStyle name="40% - Accent1 2 7" xfId="257" xr:uid="{00000000-0005-0000-0000-0000AC030000}"/>
    <cellStyle name="40% - Accent1 2 7 2" xfId="5733" xr:uid="{00000000-0005-0000-0000-0000AD030000}"/>
    <cellStyle name="40% - Accent1 2 7 3" xfId="5734" xr:uid="{00000000-0005-0000-0000-0000AE030000}"/>
    <cellStyle name="40% - Accent1 2 8" xfId="258" xr:uid="{00000000-0005-0000-0000-0000AF030000}"/>
    <cellStyle name="40% - Accent1 2 8 2" xfId="5735" xr:uid="{00000000-0005-0000-0000-0000B0030000}"/>
    <cellStyle name="40% - Accent1 2 8 3" xfId="5736" xr:uid="{00000000-0005-0000-0000-0000B1030000}"/>
    <cellStyle name="40% - Accent1 2 9" xfId="259" xr:uid="{00000000-0005-0000-0000-0000B2030000}"/>
    <cellStyle name="40% - Accent1 2 9 2" xfId="5737" xr:uid="{00000000-0005-0000-0000-0000B3030000}"/>
    <cellStyle name="40% - Accent1 2 9 3" xfId="5738" xr:uid="{00000000-0005-0000-0000-0000B4030000}"/>
    <cellStyle name="40% - Accent1 2_Blood_21months_EURO" xfId="260" xr:uid="{00000000-0005-0000-0000-0000B5030000}"/>
    <cellStyle name="40% - Accent1 3" xfId="261" xr:uid="{00000000-0005-0000-0000-0000B6030000}"/>
    <cellStyle name="40% - Accent1 3 2" xfId="262" xr:uid="{00000000-0005-0000-0000-0000B7030000}"/>
    <cellStyle name="40% - Accent1 3 2 2" xfId="5739" xr:uid="{00000000-0005-0000-0000-0000B8030000}"/>
    <cellStyle name="40% - Accent1 3 2 3" xfId="5740" xr:uid="{00000000-0005-0000-0000-0000B9030000}"/>
    <cellStyle name="40% - Accent1 3 3" xfId="5741" xr:uid="{00000000-0005-0000-0000-0000BA030000}"/>
    <cellStyle name="40% - Accent1 3 4" xfId="5742" xr:uid="{00000000-0005-0000-0000-0000BB030000}"/>
    <cellStyle name="40% - Accent1 3_Budget incorporated 2011-2012 last101011" xfId="263" xr:uid="{00000000-0005-0000-0000-0000BC030000}"/>
    <cellStyle name="40% - Accent1 4" xfId="264" xr:uid="{00000000-0005-0000-0000-0000BD030000}"/>
    <cellStyle name="40% - Accent1 4 2" xfId="265" xr:uid="{00000000-0005-0000-0000-0000BE030000}"/>
    <cellStyle name="40% - Accent1 4 2 2" xfId="5743" xr:uid="{00000000-0005-0000-0000-0000BF030000}"/>
    <cellStyle name="40% - Accent1 4 2 3" xfId="5744" xr:uid="{00000000-0005-0000-0000-0000C0030000}"/>
    <cellStyle name="40% - Accent1 4 3" xfId="5745" xr:uid="{00000000-0005-0000-0000-0000C1030000}"/>
    <cellStyle name="40% - Accent1 4 4" xfId="5746" xr:uid="{00000000-0005-0000-0000-0000C2030000}"/>
    <cellStyle name="40% - Accent1 4_Budget incorporated 2011-2012 last101011" xfId="266" xr:uid="{00000000-0005-0000-0000-0000C3030000}"/>
    <cellStyle name="40% - Accent1 5" xfId="267" xr:uid="{00000000-0005-0000-0000-0000C4030000}"/>
    <cellStyle name="40% - Accent1 5 2" xfId="5747" xr:uid="{00000000-0005-0000-0000-0000C5030000}"/>
    <cellStyle name="40% - Accent1 5 3" xfId="5748" xr:uid="{00000000-0005-0000-0000-0000C6030000}"/>
    <cellStyle name="40% - Accent1 6" xfId="268" xr:uid="{00000000-0005-0000-0000-0000C7030000}"/>
    <cellStyle name="40% - Accent1 6 2" xfId="269" xr:uid="{00000000-0005-0000-0000-0000C8030000}"/>
    <cellStyle name="40% - Accent1 7" xfId="270" xr:uid="{00000000-0005-0000-0000-0000C9030000}"/>
    <cellStyle name="40% - Accent1 7 2" xfId="271" xr:uid="{00000000-0005-0000-0000-0000CA030000}"/>
    <cellStyle name="40% - Accent2" xfId="272" xr:uid="{00000000-0005-0000-0000-0000CB030000}"/>
    <cellStyle name="40% - Accent2 2" xfId="273" xr:uid="{00000000-0005-0000-0000-0000CC030000}"/>
    <cellStyle name="40% - Accent2 2 10" xfId="5749" xr:uid="{00000000-0005-0000-0000-0000CD030000}"/>
    <cellStyle name="40% - Accent2 2 11" xfId="5750" xr:uid="{00000000-0005-0000-0000-0000CE030000}"/>
    <cellStyle name="40% - Accent2 2 12" xfId="5751" xr:uid="{00000000-0005-0000-0000-0000CF030000}"/>
    <cellStyle name="40% - Accent2 2 13" xfId="5752" xr:uid="{00000000-0005-0000-0000-0000D0030000}"/>
    <cellStyle name="40% - Accent2 2 2" xfId="274" xr:uid="{00000000-0005-0000-0000-0000D1030000}"/>
    <cellStyle name="40% - Accent2 2 2 2" xfId="5753" xr:uid="{00000000-0005-0000-0000-0000D2030000}"/>
    <cellStyle name="40% - Accent2 2 2 3" xfId="5754" xr:uid="{00000000-0005-0000-0000-0000D3030000}"/>
    <cellStyle name="40% - Accent2 2 3" xfId="275" xr:uid="{00000000-0005-0000-0000-0000D4030000}"/>
    <cellStyle name="40% - Accent2 2 4" xfId="276" xr:uid="{00000000-0005-0000-0000-0000D5030000}"/>
    <cellStyle name="40% - Accent2 2 4 10" xfId="5755" xr:uid="{00000000-0005-0000-0000-0000D6030000}"/>
    <cellStyle name="40% - Accent2 2 4 2" xfId="5756" xr:uid="{00000000-0005-0000-0000-0000D7030000}"/>
    <cellStyle name="40% - Accent2 2 4 2 2" xfId="5757" xr:uid="{00000000-0005-0000-0000-0000D8030000}"/>
    <cellStyle name="40% - Accent2 2 4 3" xfId="5758" xr:uid="{00000000-0005-0000-0000-0000D9030000}"/>
    <cellStyle name="40% - Accent2 2 4 4" xfId="5759" xr:uid="{00000000-0005-0000-0000-0000DA030000}"/>
    <cellStyle name="40% - Accent2 2 4 5" xfId="5760" xr:uid="{00000000-0005-0000-0000-0000DB030000}"/>
    <cellStyle name="40% - Accent2 2 4 6" xfId="5761" xr:uid="{00000000-0005-0000-0000-0000DC030000}"/>
    <cellStyle name="40% - Accent2 2 4 7" xfId="5762" xr:uid="{00000000-0005-0000-0000-0000DD030000}"/>
    <cellStyle name="40% - Accent2 2 4 8" xfId="5763" xr:uid="{00000000-0005-0000-0000-0000DE030000}"/>
    <cellStyle name="40% - Accent2 2 4 9" xfId="5764" xr:uid="{00000000-0005-0000-0000-0000DF030000}"/>
    <cellStyle name="40% - Accent2 2 5" xfId="277" xr:uid="{00000000-0005-0000-0000-0000E0030000}"/>
    <cellStyle name="40% - Accent2 2 5 2" xfId="5765" xr:uid="{00000000-0005-0000-0000-0000E1030000}"/>
    <cellStyle name="40% - Accent2 2 5 3" xfId="5766" xr:uid="{00000000-0005-0000-0000-0000E2030000}"/>
    <cellStyle name="40% - Accent2 2 6" xfId="278" xr:uid="{00000000-0005-0000-0000-0000E3030000}"/>
    <cellStyle name="40% - Accent2 2 7" xfId="279" xr:uid="{00000000-0005-0000-0000-0000E4030000}"/>
    <cellStyle name="40% - Accent2 2 8" xfId="280" xr:uid="{00000000-0005-0000-0000-0000E5030000}"/>
    <cellStyle name="40% - Accent2 2 9" xfId="281" xr:uid="{00000000-0005-0000-0000-0000E6030000}"/>
    <cellStyle name="40% - Accent2 2_Budget incorporated 2011-2012 last101011" xfId="282" xr:uid="{00000000-0005-0000-0000-0000E7030000}"/>
    <cellStyle name="40% - Accent2 3" xfId="283" xr:uid="{00000000-0005-0000-0000-0000E8030000}"/>
    <cellStyle name="40% - Accent2 3 2" xfId="284" xr:uid="{00000000-0005-0000-0000-0000E9030000}"/>
    <cellStyle name="40% - Accent2 3 2 2" xfId="5767" xr:uid="{00000000-0005-0000-0000-0000EA030000}"/>
    <cellStyle name="40% - Accent2 3 2 3" xfId="5768" xr:uid="{00000000-0005-0000-0000-0000EB030000}"/>
    <cellStyle name="40% - Accent2 3 3" xfId="5769" xr:uid="{00000000-0005-0000-0000-0000EC030000}"/>
    <cellStyle name="40% - Accent2 3 4" xfId="5770" xr:uid="{00000000-0005-0000-0000-0000ED030000}"/>
    <cellStyle name="40% - Accent2 3_Budget incorporated 2011-2012 last101011" xfId="285" xr:uid="{00000000-0005-0000-0000-0000EE030000}"/>
    <cellStyle name="40% - Accent2 4" xfId="286" xr:uid="{00000000-0005-0000-0000-0000EF030000}"/>
    <cellStyle name="40% - Accent2 4 2" xfId="287" xr:uid="{00000000-0005-0000-0000-0000F0030000}"/>
    <cellStyle name="40% - Accent2 4 2 2" xfId="5771" xr:uid="{00000000-0005-0000-0000-0000F1030000}"/>
    <cellStyle name="40% - Accent2 4 2 3" xfId="5772" xr:uid="{00000000-0005-0000-0000-0000F2030000}"/>
    <cellStyle name="40% - Accent2 4 3" xfId="5773" xr:uid="{00000000-0005-0000-0000-0000F3030000}"/>
    <cellStyle name="40% - Accent2 4 4" xfId="5774" xr:uid="{00000000-0005-0000-0000-0000F4030000}"/>
    <cellStyle name="40% - Accent2 4_Budget incorporated 2011-2012 last101011" xfId="288" xr:uid="{00000000-0005-0000-0000-0000F5030000}"/>
    <cellStyle name="40% - Accent2 5" xfId="289" xr:uid="{00000000-0005-0000-0000-0000F6030000}"/>
    <cellStyle name="40% - Accent2 5 2" xfId="5775" xr:uid="{00000000-0005-0000-0000-0000F7030000}"/>
    <cellStyle name="40% - Accent2 5 3" xfId="5776" xr:uid="{00000000-0005-0000-0000-0000F8030000}"/>
    <cellStyle name="40% - Accent2 6" xfId="290" xr:uid="{00000000-0005-0000-0000-0000F9030000}"/>
    <cellStyle name="40% - Accent2 6 2" xfId="291" xr:uid="{00000000-0005-0000-0000-0000FA030000}"/>
    <cellStyle name="40% - Accent2 7" xfId="292" xr:uid="{00000000-0005-0000-0000-0000FB030000}"/>
    <cellStyle name="40% - Accent2 7 2" xfId="293" xr:uid="{00000000-0005-0000-0000-0000FC030000}"/>
    <cellStyle name="40% - Accent3" xfId="294" xr:uid="{00000000-0005-0000-0000-0000FD030000}"/>
    <cellStyle name="40% - Accent3 2" xfId="295" xr:uid="{00000000-0005-0000-0000-0000FE030000}"/>
    <cellStyle name="40% - Accent3 2 10" xfId="296" xr:uid="{00000000-0005-0000-0000-0000FF030000}"/>
    <cellStyle name="40% - Accent3 2 10 2" xfId="5777" xr:uid="{00000000-0005-0000-0000-000000040000}"/>
    <cellStyle name="40% - Accent3 2 10 3" xfId="5778" xr:uid="{00000000-0005-0000-0000-000001040000}"/>
    <cellStyle name="40% - Accent3 2 10 4" xfId="5779" xr:uid="{00000000-0005-0000-0000-000002040000}"/>
    <cellStyle name="40% - Accent3 2 11" xfId="5780" xr:uid="{00000000-0005-0000-0000-000003040000}"/>
    <cellStyle name="40% - Accent3 2 11 2" xfId="5781" xr:uid="{00000000-0005-0000-0000-000004040000}"/>
    <cellStyle name="40% - Accent3 2 11 3" xfId="5782" xr:uid="{00000000-0005-0000-0000-000005040000}"/>
    <cellStyle name="40% - Accent3 2 12" xfId="5783" xr:uid="{00000000-0005-0000-0000-000006040000}"/>
    <cellStyle name="40% - Accent3 2 12 2" xfId="5784" xr:uid="{00000000-0005-0000-0000-000007040000}"/>
    <cellStyle name="40% - Accent3 2 12 3" xfId="5785" xr:uid="{00000000-0005-0000-0000-000008040000}"/>
    <cellStyle name="40% - Accent3 2 13" xfId="5786" xr:uid="{00000000-0005-0000-0000-000009040000}"/>
    <cellStyle name="40% - Accent3 2 13 2" xfId="5787" xr:uid="{00000000-0005-0000-0000-00000A040000}"/>
    <cellStyle name="40% - Accent3 2 13 3" xfId="5788" xr:uid="{00000000-0005-0000-0000-00000B040000}"/>
    <cellStyle name="40% - Accent3 2 14" xfId="5789" xr:uid="{00000000-0005-0000-0000-00000C040000}"/>
    <cellStyle name="40% - Accent3 2 14 2" xfId="5790" xr:uid="{00000000-0005-0000-0000-00000D040000}"/>
    <cellStyle name="40% - Accent3 2 14 3" xfId="5791" xr:uid="{00000000-0005-0000-0000-00000E040000}"/>
    <cellStyle name="40% - Accent3 2 15" xfId="5792" xr:uid="{00000000-0005-0000-0000-00000F040000}"/>
    <cellStyle name="40% - Accent3 2 15 2" xfId="5793" xr:uid="{00000000-0005-0000-0000-000010040000}"/>
    <cellStyle name="40% - Accent3 2 15 3" xfId="5794" xr:uid="{00000000-0005-0000-0000-000011040000}"/>
    <cellStyle name="40% - Accent3 2 16" xfId="5795" xr:uid="{00000000-0005-0000-0000-000012040000}"/>
    <cellStyle name="40% - Accent3 2 16 2" xfId="5796" xr:uid="{00000000-0005-0000-0000-000013040000}"/>
    <cellStyle name="40% - Accent3 2 16 3" xfId="5797" xr:uid="{00000000-0005-0000-0000-000014040000}"/>
    <cellStyle name="40% - Accent3 2 17" xfId="5798" xr:uid="{00000000-0005-0000-0000-000015040000}"/>
    <cellStyle name="40% - Accent3 2 17 2" xfId="5799" xr:uid="{00000000-0005-0000-0000-000016040000}"/>
    <cellStyle name="40% - Accent3 2 17 3" xfId="5800" xr:uid="{00000000-0005-0000-0000-000017040000}"/>
    <cellStyle name="40% - Accent3 2 18" xfId="5801" xr:uid="{00000000-0005-0000-0000-000018040000}"/>
    <cellStyle name="40% - Accent3 2 18 2" xfId="5802" xr:uid="{00000000-0005-0000-0000-000019040000}"/>
    <cellStyle name="40% - Accent3 2 18 3" xfId="5803" xr:uid="{00000000-0005-0000-0000-00001A040000}"/>
    <cellStyle name="40% - Accent3 2 19" xfId="5804" xr:uid="{00000000-0005-0000-0000-00001B040000}"/>
    <cellStyle name="40% - Accent3 2 2" xfId="297" xr:uid="{00000000-0005-0000-0000-00001C040000}"/>
    <cellStyle name="40% - Accent3 2 2 2" xfId="5805" xr:uid="{00000000-0005-0000-0000-00001D040000}"/>
    <cellStyle name="40% - Accent3 2 2 3" xfId="5806" xr:uid="{00000000-0005-0000-0000-00001E040000}"/>
    <cellStyle name="40% - Accent3 2 20" xfId="5807" xr:uid="{00000000-0005-0000-0000-00001F040000}"/>
    <cellStyle name="40% - Accent3 2 21" xfId="5808" xr:uid="{00000000-0005-0000-0000-000020040000}"/>
    <cellStyle name="40% - Accent3 2 22" xfId="5809" xr:uid="{00000000-0005-0000-0000-000021040000}"/>
    <cellStyle name="40% - Accent3 2 23" xfId="5810" xr:uid="{00000000-0005-0000-0000-000022040000}"/>
    <cellStyle name="40% - Accent3 2 24" xfId="5811" xr:uid="{00000000-0005-0000-0000-000023040000}"/>
    <cellStyle name="40% - Accent3 2 25" xfId="5812" xr:uid="{00000000-0005-0000-0000-000024040000}"/>
    <cellStyle name="40% - Accent3 2 26" xfId="5813" xr:uid="{00000000-0005-0000-0000-000025040000}"/>
    <cellStyle name="40% - Accent3 2 27" xfId="5814" xr:uid="{00000000-0005-0000-0000-000026040000}"/>
    <cellStyle name="40% - Accent3 2 28" xfId="5815" xr:uid="{00000000-0005-0000-0000-000027040000}"/>
    <cellStyle name="40% - Accent3 2 3" xfId="298" xr:uid="{00000000-0005-0000-0000-000028040000}"/>
    <cellStyle name="40% - Accent3 2 3 10" xfId="5816" xr:uid="{00000000-0005-0000-0000-000029040000}"/>
    <cellStyle name="40% - Accent3 2 3 2" xfId="299" xr:uid="{00000000-0005-0000-0000-00002A040000}"/>
    <cellStyle name="40% - Accent3 2 3 2 2" xfId="5817" xr:uid="{00000000-0005-0000-0000-00002B040000}"/>
    <cellStyle name="40% - Accent3 2 3 3" xfId="300" xr:uid="{00000000-0005-0000-0000-00002C040000}"/>
    <cellStyle name="40% - Accent3 2 3 3 2" xfId="5818" xr:uid="{00000000-0005-0000-0000-00002D040000}"/>
    <cellStyle name="40% - Accent3 2 3 4" xfId="301" xr:uid="{00000000-0005-0000-0000-00002E040000}"/>
    <cellStyle name="40% - Accent3 2 3 4 2" xfId="5819" xr:uid="{00000000-0005-0000-0000-00002F040000}"/>
    <cellStyle name="40% - Accent3 2 3 5" xfId="302" xr:uid="{00000000-0005-0000-0000-000030040000}"/>
    <cellStyle name="40% - Accent3 2 3 5 2" xfId="5820" xr:uid="{00000000-0005-0000-0000-000031040000}"/>
    <cellStyle name="40% - Accent3 2 3 6" xfId="303" xr:uid="{00000000-0005-0000-0000-000032040000}"/>
    <cellStyle name="40% - Accent3 2 3 6 2" xfId="5821" xr:uid="{00000000-0005-0000-0000-000033040000}"/>
    <cellStyle name="40% - Accent3 2 3 7" xfId="304" xr:uid="{00000000-0005-0000-0000-000034040000}"/>
    <cellStyle name="40% - Accent3 2 3 7 2" xfId="5822" xr:uid="{00000000-0005-0000-0000-000035040000}"/>
    <cellStyle name="40% - Accent3 2 3 8" xfId="305" xr:uid="{00000000-0005-0000-0000-000036040000}"/>
    <cellStyle name="40% - Accent3 2 3 8 2" xfId="5823" xr:uid="{00000000-0005-0000-0000-000037040000}"/>
    <cellStyle name="40% - Accent3 2 3 9" xfId="5824" xr:uid="{00000000-0005-0000-0000-000038040000}"/>
    <cellStyle name="40% - Accent3 2 4" xfId="306" xr:uid="{00000000-0005-0000-0000-000039040000}"/>
    <cellStyle name="40% - Accent3 2 4 10" xfId="5825" xr:uid="{00000000-0005-0000-0000-00003A040000}"/>
    <cellStyle name="40% - Accent3 2 4 11" xfId="5826" xr:uid="{00000000-0005-0000-0000-00003B040000}"/>
    <cellStyle name="40% - Accent3 2 4 2" xfId="5827" xr:uid="{00000000-0005-0000-0000-00003C040000}"/>
    <cellStyle name="40% - Accent3 2 4 2 2" xfId="5828" xr:uid="{00000000-0005-0000-0000-00003D040000}"/>
    <cellStyle name="40% - Accent3 2 4 3" xfId="5829" xr:uid="{00000000-0005-0000-0000-00003E040000}"/>
    <cellStyle name="40% - Accent3 2 4 4" xfId="5830" xr:uid="{00000000-0005-0000-0000-00003F040000}"/>
    <cellStyle name="40% - Accent3 2 4 5" xfId="5831" xr:uid="{00000000-0005-0000-0000-000040040000}"/>
    <cellStyle name="40% - Accent3 2 4 6" xfId="5832" xr:uid="{00000000-0005-0000-0000-000041040000}"/>
    <cellStyle name="40% - Accent3 2 4 7" xfId="5833" xr:uid="{00000000-0005-0000-0000-000042040000}"/>
    <cellStyle name="40% - Accent3 2 4 8" xfId="5834" xr:uid="{00000000-0005-0000-0000-000043040000}"/>
    <cellStyle name="40% - Accent3 2 4 9" xfId="5835" xr:uid="{00000000-0005-0000-0000-000044040000}"/>
    <cellStyle name="40% - Accent3 2 5" xfId="307" xr:uid="{00000000-0005-0000-0000-000045040000}"/>
    <cellStyle name="40% - Accent3 2 5 10" xfId="5836" xr:uid="{00000000-0005-0000-0000-000046040000}"/>
    <cellStyle name="40% - Accent3 2 5 11" xfId="5837" xr:uid="{00000000-0005-0000-0000-000047040000}"/>
    <cellStyle name="40% - Accent3 2 5 2" xfId="5838" xr:uid="{00000000-0005-0000-0000-000048040000}"/>
    <cellStyle name="40% - Accent3 2 5 2 2" xfId="5839" xr:uid="{00000000-0005-0000-0000-000049040000}"/>
    <cellStyle name="40% - Accent3 2 5 3" xfId="5840" xr:uid="{00000000-0005-0000-0000-00004A040000}"/>
    <cellStyle name="40% - Accent3 2 5 4" xfId="5841" xr:uid="{00000000-0005-0000-0000-00004B040000}"/>
    <cellStyle name="40% - Accent3 2 5 5" xfId="5842" xr:uid="{00000000-0005-0000-0000-00004C040000}"/>
    <cellStyle name="40% - Accent3 2 5 6" xfId="5843" xr:uid="{00000000-0005-0000-0000-00004D040000}"/>
    <cellStyle name="40% - Accent3 2 5 7" xfId="5844" xr:uid="{00000000-0005-0000-0000-00004E040000}"/>
    <cellStyle name="40% - Accent3 2 5 8" xfId="5845" xr:uid="{00000000-0005-0000-0000-00004F040000}"/>
    <cellStyle name="40% - Accent3 2 5 9" xfId="5846" xr:uid="{00000000-0005-0000-0000-000050040000}"/>
    <cellStyle name="40% - Accent3 2 6" xfId="308" xr:uid="{00000000-0005-0000-0000-000051040000}"/>
    <cellStyle name="40% - Accent3 2 6 2" xfId="5847" xr:uid="{00000000-0005-0000-0000-000052040000}"/>
    <cellStyle name="40% - Accent3 2 6 3" xfId="5848" xr:uid="{00000000-0005-0000-0000-000053040000}"/>
    <cellStyle name="40% - Accent3 2 7" xfId="309" xr:uid="{00000000-0005-0000-0000-000054040000}"/>
    <cellStyle name="40% - Accent3 2 7 2" xfId="5849" xr:uid="{00000000-0005-0000-0000-000055040000}"/>
    <cellStyle name="40% - Accent3 2 7 3" xfId="5850" xr:uid="{00000000-0005-0000-0000-000056040000}"/>
    <cellStyle name="40% - Accent3 2 8" xfId="310" xr:uid="{00000000-0005-0000-0000-000057040000}"/>
    <cellStyle name="40% - Accent3 2 8 2" xfId="5851" xr:uid="{00000000-0005-0000-0000-000058040000}"/>
    <cellStyle name="40% - Accent3 2 8 3" xfId="5852" xr:uid="{00000000-0005-0000-0000-000059040000}"/>
    <cellStyle name="40% - Accent3 2 9" xfId="311" xr:uid="{00000000-0005-0000-0000-00005A040000}"/>
    <cellStyle name="40% - Accent3 2 9 2" xfId="5853" xr:uid="{00000000-0005-0000-0000-00005B040000}"/>
    <cellStyle name="40% - Accent3 2 9 3" xfId="5854" xr:uid="{00000000-0005-0000-0000-00005C040000}"/>
    <cellStyle name="40% - Accent3 2_Blood_21months_EURO" xfId="312" xr:uid="{00000000-0005-0000-0000-00005D040000}"/>
    <cellStyle name="40% - Accent3 3" xfId="313" xr:uid="{00000000-0005-0000-0000-00005E040000}"/>
    <cellStyle name="40% - Accent3 3 2" xfId="314" xr:uid="{00000000-0005-0000-0000-00005F040000}"/>
    <cellStyle name="40% - Accent3 3 2 2" xfId="5855" xr:uid="{00000000-0005-0000-0000-000060040000}"/>
    <cellStyle name="40% - Accent3 3 2 3" xfId="5856" xr:uid="{00000000-0005-0000-0000-000061040000}"/>
    <cellStyle name="40% - Accent3 3 3" xfId="5857" xr:uid="{00000000-0005-0000-0000-000062040000}"/>
    <cellStyle name="40% - Accent3 3 4" xfId="5858" xr:uid="{00000000-0005-0000-0000-000063040000}"/>
    <cellStyle name="40% - Accent3 3_Budget incorporated 2011-2012 last101011" xfId="315" xr:uid="{00000000-0005-0000-0000-000064040000}"/>
    <cellStyle name="40% - Accent3 4" xfId="316" xr:uid="{00000000-0005-0000-0000-000065040000}"/>
    <cellStyle name="40% - Accent3 4 2" xfId="317" xr:uid="{00000000-0005-0000-0000-000066040000}"/>
    <cellStyle name="40% - Accent3 4 2 2" xfId="5859" xr:uid="{00000000-0005-0000-0000-000067040000}"/>
    <cellStyle name="40% - Accent3 4 2 3" xfId="5860" xr:uid="{00000000-0005-0000-0000-000068040000}"/>
    <cellStyle name="40% - Accent3 4 3" xfId="5861" xr:uid="{00000000-0005-0000-0000-000069040000}"/>
    <cellStyle name="40% - Accent3 4 4" xfId="5862" xr:uid="{00000000-0005-0000-0000-00006A040000}"/>
    <cellStyle name="40% - Accent3 4_Budget incorporated 2011-2012 last101011" xfId="318" xr:uid="{00000000-0005-0000-0000-00006B040000}"/>
    <cellStyle name="40% - Accent3 5" xfId="319" xr:uid="{00000000-0005-0000-0000-00006C040000}"/>
    <cellStyle name="40% - Accent3 5 2" xfId="5863" xr:uid="{00000000-0005-0000-0000-00006D040000}"/>
    <cellStyle name="40% - Accent3 5 3" xfId="5864" xr:uid="{00000000-0005-0000-0000-00006E040000}"/>
    <cellStyle name="40% - Accent3 6" xfId="320" xr:uid="{00000000-0005-0000-0000-00006F040000}"/>
    <cellStyle name="40% - Accent3 6 2" xfId="321" xr:uid="{00000000-0005-0000-0000-000070040000}"/>
    <cellStyle name="40% - Accent3 7" xfId="322" xr:uid="{00000000-0005-0000-0000-000071040000}"/>
    <cellStyle name="40% - Accent3 7 2" xfId="323" xr:uid="{00000000-0005-0000-0000-000072040000}"/>
    <cellStyle name="40% - Accent4" xfId="324" xr:uid="{00000000-0005-0000-0000-000073040000}"/>
    <cellStyle name="40% - Accent4 2" xfId="325" xr:uid="{00000000-0005-0000-0000-000074040000}"/>
    <cellStyle name="40% - Accent4 2 10" xfId="326" xr:uid="{00000000-0005-0000-0000-000075040000}"/>
    <cellStyle name="40% - Accent4 2 10 2" xfId="5865" xr:uid="{00000000-0005-0000-0000-000076040000}"/>
    <cellStyle name="40% - Accent4 2 10 3" xfId="5866" xr:uid="{00000000-0005-0000-0000-000077040000}"/>
    <cellStyle name="40% - Accent4 2 10 4" xfId="5867" xr:uid="{00000000-0005-0000-0000-000078040000}"/>
    <cellStyle name="40% - Accent4 2 11" xfId="5868" xr:uid="{00000000-0005-0000-0000-000079040000}"/>
    <cellStyle name="40% - Accent4 2 11 2" xfId="5869" xr:uid="{00000000-0005-0000-0000-00007A040000}"/>
    <cellStyle name="40% - Accent4 2 11 3" xfId="5870" xr:uid="{00000000-0005-0000-0000-00007B040000}"/>
    <cellStyle name="40% - Accent4 2 12" xfId="5871" xr:uid="{00000000-0005-0000-0000-00007C040000}"/>
    <cellStyle name="40% - Accent4 2 12 2" xfId="5872" xr:uid="{00000000-0005-0000-0000-00007D040000}"/>
    <cellStyle name="40% - Accent4 2 12 3" xfId="5873" xr:uid="{00000000-0005-0000-0000-00007E040000}"/>
    <cellStyle name="40% - Accent4 2 13" xfId="5874" xr:uid="{00000000-0005-0000-0000-00007F040000}"/>
    <cellStyle name="40% - Accent4 2 13 2" xfId="5875" xr:uid="{00000000-0005-0000-0000-000080040000}"/>
    <cellStyle name="40% - Accent4 2 13 3" xfId="5876" xr:uid="{00000000-0005-0000-0000-000081040000}"/>
    <cellStyle name="40% - Accent4 2 14" xfId="5877" xr:uid="{00000000-0005-0000-0000-000082040000}"/>
    <cellStyle name="40% - Accent4 2 14 2" xfId="5878" xr:uid="{00000000-0005-0000-0000-000083040000}"/>
    <cellStyle name="40% - Accent4 2 14 3" xfId="5879" xr:uid="{00000000-0005-0000-0000-000084040000}"/>
    <cellStyle name="40% - Accent4 2 15" xfId="5880" xr:uid="{00000000-0005-0000-0000-000085040000}"/>
    <cellStyle name="40% - Accent4 2 15 2" xfId="5881" xr:uid="{00000000-0005-0000-0000-000086040000}"/>
    <cellStyle name="40% - Accent4 2 15 3" xfId="5882" xr:uid="{00000000-0005-0000-0000-000087040000}"/>
    <cellStyle name="40% - Accent4 2 16" xfId="5883" xr:uid="{00000000-0005-0000-0000-000088040000}"/>
    <cellStyle name="40% - Accent4 2 16 2" xfId="5884" xr:uid="{00000000-0005-0000-0000-000089040000}"/>
    <cellStyle name="40% - Accent4 2 16 3" xfId="5885" xr:uid="{00000000-0005-0000-0000-00008A040000}"/>
    <cellStyle name="40% - Accent4 2 17" xfId="5886" xr:uid="{00000000-0005-0000-0000-00008B040000}"/>
    <cellStyle name="40% - Accent4 2 17 2" xfId="5887" xr:uid="{00000000-0005-0000-0000-00008C040000}"/>
    <cellStyle name="40% - Accent4 2 17 3" xfId="5888" xr:uid="{00000000-0005-0000-0000-00008D040000}"/>
    <cellStyle name="40% - Accent4 2 18" xfId="5889" xr:uid="{00000000-0005-0000-0000-00008E040000}"/>
    <cellStyle name="40% - Accent4 2 18 2" xfId="5890" xr:uid="{00000000-0005-0000-0000-00008F040000}"/>
    <cellStyle name="40% - Accent4 2 18 3" xfId="5891" xr:uid="{00000000-0005-0000-0000-000090040000}"/>
    <cellStyle name="40% - Accent4 2 19" xfId="5892" xr:uid="{00000000-0005-0000-0000-000091040000}"/>
    <cellStyle name="40% - Accent4 2 2" xfId="327" xr:uid="{00000000-0005-0000-0000-000092040000}"/>
    <cellStyle name="40% - Accent4 2 2 2" xfId="5893" xr:uid="{00000000-0005-0000-0000-000093040000}"/>
    <cellStyle name="40% - Accent4 2 2 3" xfId="5894" xr:uid="{00000000-0005-0000-0000-000094040000}"/>
    <cellStyle name="40% - Accent4 2 20" xfId="5895" xr:uid="{00000000-0005-0000-0000-000095040000}"/>
    <cellStyle name="40% - Accent4 2 21" xfId="5896" xr:uid="{00000000-0005-0000-0000-000096040000}"/>
    <cellStyle name="40% - Accent4 2 22" xfId="5897" xr:uid="{00000000-0005-0000-0000-000097040000}"/>
    <cellStyle name="40% - Accent4 2 23" xfId="5898" xr:uid="{00000000-0005-0000-0000-000098040000}"/>
    <cellStyle name="40% - Accent4 2 24" xfId="5899" xr:uid="{00000000-0005-0000-0000-000099040000}"/>
    <cellStyle name="40% - Accent4 2 25" xfId="5900" xr:uid="{00000000-0005-0000-0000-00009A040000}"/>
    <cellStyle name="40% - Accent4 2 26" xfId="5901" xr:uid="{00000000-0005-0000-0000-00009B040000}"/>
    <cellStyle name="40% - Accent4 2 27" xfId="5902" xr:uid="{00000000-0005-0000-0000-00009C040000}"/>
    <cellStyle name="40% - Accent4 2 28" xfId="5903" xr:uid="{00000000-0005-0000-0000-00009D040000}"/>
    <cellStyle name="40% - Accent4 2 3" xfId="328" xr:uid="{00000000-0005-0000-0000-00009E040000}"/>
    <cellStyle name="40% - Accent4 2 3 10" xfId="5904" xr:uid="{00000000-0005-0000-0000-00009F040000}"/>
    <cellStyle name="40% - Accent4 2 3 2" xfId="329" xr:uid="{00000000-0005-0000-0000-0000A0040000}"/>
    <cellStyle name="40% - Accent4 2 3 2 2" xfId="5905" xr:uid="{00000000-0005-0000-0000-0000A1040000}"/>
    <cellStyle name="40% - Accent4 2 3 3" xfId="330" xr:uid="{00000000-0005-0000-0000-0000A2040000}"/>
    <cellStyle name="40% - Accent4 2 3 3 2" xfId="5906" xr:uid="{00000000-0005-0000-0000-0000A3040000}"/>
    <cellStyle name="40% - Accent4 2 3 4" xfId="331" xr:uid="{00000000-0005-0000-0000-0000A4040000}"/>
    <cellStyle name="40% - Accent4 2 3 4 2" xfId="5907" xr:uid="{00000000-0005-0000-0000-0000A5040000}"/>
    <cellStyle name="40% - Accent4 2 3 5" xfId="332" xr:uid="{00000000-0005-0000-0000-0000A6040000}"/>
    <cellStyle name="40% - Accent4 2 3 5 2" xfId="5908" xr:uid="{00000000-0005-0000-0000-0000A7040000}"/>
    <cellStyle name="40% - Accent4 2 3 6" xfId="333" xr:uid="{00000000-0005-0000-0000-0000A8040000}"/>
    <cellStyle name="40% - Accent4 2 3 6 2" xfId="5909" xr:uid="{00000000-0005-0000-0000-0000A9040000}"/>
    <cellStyle name="40% - Accent4 2 3 7" xfId="334" xr:uid="{00000000-0005-0000-0000-0000AA040000}"/>
    <cellStyle name="40% - Accent4 2 3 7 2" xfId="5910" xr:uid="{00000000-0005-0000-0000-0000AB040000}"/>
    <cellStyle name="40% - Accent4 2 3 8" xfId="335" xr:uid="{00000000-0005-0000-0000-0000AC040000}"/>
    <cellStyle name="40% - Accent4 2 3 8 2" xfId="5911" xr:uid="{00000000-0005-0000-0000-0000AD040000}"/>
    <cellStyle name="40% - Accent4 2 3 9" xfId="5912" xr:uid="{00000000-0005-0000-0000-0000AE040000}"/>
    <cellStyle name="40% - Accent4 2 4" xfId="336" xr:uid="{00000000-0005-0000-0000-0000AF040000}"/>
    <cellStyle name="40% - Accent4 2 4 10" xfId="5913" xr:uid="{00000000-0005-0000-0000-0000B0040000}"/>
    <cellStyle name="40% - Accent4 2 4 11" xfId="5914" xr:uid="{00000000-0005-0000-0000-0000B1040000}"/>
    <cellStyle name="40% - Accent4 2 4 2" xfId="5915" xr:uid="{00000000-0005-0000-0000-0000B2040000}"/>
    <cellStyle name="40% - Accent4 2 4 2 2" xfId="5916" xr:uid="{00000000-0005-0000-0000-0000B3040000}"/>
    <cellStyle name="40% - Accent4 2 4 3" xfId="5917" xr:uid="{00000000-0005-0000-0000-0000B4040000}"/>
    <cellStyle name="40% - Accent4 2 4 4" xfId="5918" xr:uid="{00000000-0005-0000-0000-0000B5040000}"/>
    <cellStyle name="40% - Accent4 2 4 5" xfId="5919" xr:uid="{00000000-0005-0000-0000-0000B6040000}"/>
    <cellStyle name="40% - Accent4 2 4 6" xfId="5920" xr:uid="{00000000-0005-0000-0000-0000B7040000}"/>
    <cellStyle name="40% - Accent4 2 4 7" xfId="5921" xr:uid="{00000000-0005-0000-0000-0000B8040000}"/>
    <cellStyle name="40% - Accent4 2 4 8" xfId="5922" xr:uid="{00000000-0005-0000-0000-0000B9040000}"/>
    <cellStyle name="40% - Accent4 2 4 9" xfId="5923" xr:uid="{00000000-0005-0000-0000-0000BA040000}"/>
    <cellStyle name="40% - Accent4 2 5" xfId="337" xr:uid="{00000000-0005-0000-0000-0000BB040000}"/>
    <cellStyle name="40% - Accent4 2 5 10" xfId="5924" xr:uid="{00000000-0005-0000-0000-0000BC040000}"/>
    <cellStyle name="40% - Accent4 2 5 11" xfId="5925" xr:uid="{00000000-0005-0000-0000-0000BD040000}"/>
    <cellStyle name="40% - Accent4 2 5 2" xfId="5926" xr:uid="{00000000-0005-0000-0000-0000BE040000}"/>
    <cellStyle name="40% - Accent4 2 5 2 2" xfId="5927" xr:uid="{00000000-0005-0000-0000-0000BF040000}"/>
    <cellStyle name="40% - Accent4 2 5 3" xfId="5928" xr:uid="{00000000-0005-0000-0000-0000C0040000}"/>
    <cellStyle name="40% - Accent4 2 5 4" xfId="5929" xr:uid="{00000000-0005-0000-0000-0000C1040000}"/>
    <cellStyle name="40% - Accent4 2 5 5" xfId="5930" xr:uid="{00000000-0005-0000-0000-0000C2040000}"/>
    <cellStyle name="40% - Accent4 2 5 6" xfId="5931" xr:uid="{00000000-0005-0000-0000-0000C3040000}"/>
    <cellStyle name="40% - Accent4 2 5 7" xfId="5932" xr:uid="{00000000-0005-0000-0000-0000C4040000}"/>
    <cellStyle name="40% - Accent4 2 5 8" xfId="5933" xr:uid="{00000000-0005-0000-0000-0000C5040000}"/>
    <cellStyle name="40% - Accent4 2 5 9" xfId="5934" xr:uid="{00000000-0005-0000-0000-0000C6040000}"/>
    <cellStyle name="40% - Accent4 2 6" xfId="338" xr:uid="{00000000-0005-0000-0000-0000C7040000}"/>
    <cellStyle name="40% - Accent4 2 6 2" xfId="5935" xr:uid="{00000000-0005-0000-0000-0000C8040000}"/>
    <cellStyle name="40% - Accent4 2 6 3" xfId="5936" xr:uid="{00000000-0005-0000-0000-0000C9040000}"/>
    <cellStyle name="40% - Accent4 2 7" xfId="339" xr:uid="{00000000-0005-0000-0000-0000CA040000}"/>
    <cellStyle name="40% - Accent4 2 7 2" xfId="5937" xr:uid="{00000000-0005-0000-0000-0000CB040000}"/>
    <cellStyle name="40% - Accent4 2 7 3" xfId="5938" xr:uid="{00000000-0005-0000-0000-0000CC040000}"/>
    <cellStyle name="40% - Accent4 2 8" xfId="340" xr:uid="{00000000-0005-0000-0000-0000CD040000}"/>
    <cellStyle name="40% - Accent4 2 8 2" xfId="5939" xr:uid="{00000000-0005-0000-0000-0000CE040000}"/>
    <cellStyle name="40% - Accent4 2 8 3" xfId="5940" xr:uid="{00000000-0005-0000-0000-0000CF040000}"/>
    <cellStyle name="40% - Accent4 2 9" xfId="341" xr:uid="{00000000-0005-0000-0000-0000D0040000}"/>
    <cellStyle name="40% - Accent4 2 9 2" xfId="5941" xr:uid="{00000000-0005-0000-0000-0000D1040000}"/>
    <cellStyle name="40% - Accent4 2 9 3" xfId="5942" xr:uid="{00000000-0005-0000-0000-0000D2040000}"/>
    <cellStyle name="40% - Accent4 2_Blood_21months_EURO" xfId="342" xr:uid="{00000000-0005-0000-0000-0000D3040000}"/>
    <cellStyle name="40% - Accent4 3" xfId="343" xr:uid="{00000000-0005-0000-0000-0000D4040000}"/>
    <cellStyle name="40% - Accent4 3 2" xfId="344" xr:uid="{00000000-0005-0000-0000-0000D5040000}"/>
    <cellStyle name="40% - Accent4 3 2 2" xfId="5943" xr:uid="{00000000-0005-0000-0000-0000D6040000}"/>
    <cellStyle name="40% - Accent4 3 2 3" xfId="5944" xr:uid="{00000000-0005-0000-0000-0000D7040000}"/>
    <cellStyle name="40% - Accent4 3 3" xfId="5945" xr:uid="{00000000-0005-0000-0000-0000D8040000}"/>
    <cellStyle name="40% - Accent4 3 4" xfId="5946" xr:uid="{00000000-0005-0000-0000-0000D9040000}"/>
    <cellStyle name="40% - Accent4 3_Budget incorporated 2011-2012 last101011" xfId="345" xr:uid="{00000000-0005-0000-0000-0000DA040000}"/>
    <cellStyle name="40% - Accent4 4" xfId="346" xr:uid="{00000000-0005-0000-0000-0000DB040000}"/>
    <cellStyle name="40% - Accent4 4 2" xfId="347" xr:uid="{00000000-0005-0000-0000-0000DC040000}"/>
    <cellStyle name="40% - Accent4 4 2 2" xfId="5947" xr:uid="{00000000-0005-0000-0000-0000DD040000}"/>
    <cellStyle name="40% - Accent4 4 2 3" xfId="5948" xr:uid="{00000000-0005-0000-0000-0000DE040000}"/>
    <cellStyle name="40% - Accent4 4 3" xfId="5949" xr:uid="{00000000-0005-0000-0000-0000DF040000}"/>
    <cellStyle name="40% - Accent4 4 4" xfId="5950" xr:uid="{00000000-0005-0000-0000-0000E0040000}"/>
    <cellStyle name="40% - Accent4 4_Budget incorporated 2011-2012 last101011" xfId="348" xr:uid="{00000000-0005-0000-0000-0000E1040000}"/>
    <cellStyle name="40% - Accent4 5" xfId="349" xr:uid="{00000000-0005-0000-0000-0000E2040000}"/>
    <cellStyle name="40% - Accent4 5 2" xfId="5951" xr:uid="{00000000-0005-0000-0000-0000E3040000}"/>
    <cellStyle name="40% - Accent4 5 3" xfId="5952" xr:uid="{00000000-0005-0000-0000-0000E4040000}"/>
    <cellStyle name="40% - Accent4 6" xfId="350" xr:uid="{00000000-0005-0000-0000-0000E5040000}"/>
    <cellStyle name="40% - Accent4 6 2" xfId="351" xr:uid="{00000000-0005-0000-0000-0000E6040000}"/>
    <cellStyle name="40% - Accent4 7" xfId="352" xr:uid="{00000000-0005-0000-0000-0000E7040000}"/>
    <cellStyle name="40% - Accent4 7 2" xfId="353" xr:uid="{00000000-0005-0000-0000-0000E8040000}"/>
    <cellStyle name="40% - Accent5" xfId="354" xr:uid="{00000000-0005-0000-0000-0000E9040000}"/>
    <cellStyle name="40% - Accent5 2" xfId="355" xr:uid="{00000000-0005-0000-0000-0000EA040000}"/>
    <cellStyle name="40% - Accent5 2 10" xfId="5953" xr:uid="{00000000-0005-0000-0000-0000EB040000}"/>
    <cellStyle name="40% - Accent5 2 11" xfId="5954" xr:uid="{00000000-0005-0000-0000-0000EC040000}"/>
    <cellStyle name="40% - Accent5 2 12" xfId="5955" xr:uid="{00000000-0005-0000-0000-0000ED040000}"/>
    <cellStyle name="40% - Accent5 2 13" xfId="5956" xr:uid="{00000000-0005-0000-0000-0000EE040000}"/>
    <cellStyle name="40% - Accent5 2 2" xfId="356" xr:uid="{00000000-0005-0000-0000-0000EF040000}"/>
    <cellStyle name="40% - Accent5 2 2 2" xfId="5957" xr:uid="{00000000-0005-0000-0000-0000F0040000}"/>
    <cellStyle name="40% - Accent5 2 2 3" xfId="5958" xr:uid="{00000000-0005-0000-0000-0000F1040000}"/>
    <cellStyle name="40% - Accent5 2 3" xfId="357" xr:uid="{00000000-0005-0000-0000-0000F2040000}"/>
    <cellStyle name="40% - Accent5 2 4" xfId="358" xr:uid="{00000000-0005-0000-0000-0000F3040000}"/>
    <cellStyle name="40% - Accent5 2 4 10" xfId="5959" xr:uid="{00000000-0005-0000-0000-0000F4040000}"/>
    <cellStyle name="40% - Accent5 2 4 2" xfId="5960" xr:uid="{00000000-0005-0000-0000-0000F5040000}"/>
    <cellStyle name="40% - Accent5 2 4 2 2" xfId="5961" xr:uid="{00000000-0005-0000-0000-0000F6040000}"/>
    <cellStyle name="40% - Accent5 2 4 3" xfId="5962" xr:uid="{00000000-0005-0000-0000-0000F7040000}"/>
    <cellStyle name="40% - Accent5 2 4 4" xfId="5963" xr:uid="{00000000-0005-0000-0000-0000F8040000}"/>
    <cellStyle name="40% - Accent5 2 4 5" xfId="5964" xr:uid="{00000000-0005-0000-0000-0000F9040000}"/>
    <cellStyle name="40% - Accent5 2 4 6" xfId="5965" xr:uid="{00000000-0005-0000-0000-0000FA040000}"/>
    <cellStyle name="40% - Accent5 2 4 7" xfId="5966" xr:uid="{00000000-0005-0000-0000-0000FB040000}"/>
    <cellStyle name="40% - Accent5 2 4 8" xfId="5967" xr:uid="{00000000-0005-0000-0000-0000FC040000}"/>
    <cellStyle name="40% - Accent5 2 4 9" xfId="5968" xr:uid="{00000000-0005-0000-0000-0000FD040000}"/>
    <cellStyle name="40% - Accent5 2 5" xfId="359" xr:uid="{00000000-0005-0000-0000-0000FE040000}"/>
    <cellStyle name="40% - Accent5 2 5 2" xfId="5969" xr:uid="{00000000-0005-0000-0000-0000FF040000}"/>
    <cellStyle name="40% - Accent5 2 5 3" xfId="5970" xr:uid="{00000000-0005-0000-0000-000000050000}"/>
    <cellStyle name="40% - Accent5 2 6" xfId="360" xr:uid="{00000000-0005-0000-0000-000001050000}"/>
    <cellStyle name="40% - Accent5 2 7" xfId="361" xr:uid="{00000000-0005-0000-0000-000002050000}"/>
    <cellStyle name="40% - Accent5 2 8" xfId="362" xr:uid="{00000000-0005-0000-0000-000003050000}"/>
    <cellStyle name="40% - Accent5 2 9" xfId="363" xr:uid="{00000000-0005-0000-0000-000004050000}"/>
    <cellStyle name="40% - Accent5 2_Budget incorporated 2011-2012 last101011" xfId="364" xr:uid="{00000000-0005-0000-0000-000005050000}"/>
    <cellStyle name="40% - Accent5 3" xfId="365" xr:uid="{00000000-0005-0000-0000-000006050000}"/>
    <cellStyle name="40% - Accent5 3 2" xfId="366" xr:uid="{00000000-0005-0000-0000-000007050000}"/>
    <cellStyle name="40% - Accent5 3 2 2" xfId="5971" xr:uid="{00000000-0005-0000-0000-000008050000}"/>
    <cellStyle name="40% - Accent5 3 2 3" xfId="5972" xr:uid="{00000000-0005-0000-0000-000009050000}"/>
    <cellStyle name="40% - Accent5 3 3" xfId="5973" xr:uid="{00000000-0005-0000-0000-00000A050000}"/>
    <cellStyle name="40% - Accent5 3 4" xfId="5974" xr:uid="{00000000-0005-0000-0000-00000B050000}"/>
    <cellStyle name="40% - Accent5 3_Budget incorporated 2011-2012 last101011" xfId="367" xr:uid="{00000000-0005-0000-0000-00000C050000}"/>
    <cellStyle name="40% - Accent5 4" xfId="368" xr:uid="{00000000-0005-0000-0000-00000D050000}"/>
    <cellStyle name="40% - Accent5 4 2" xfId="369" xr:uid="{00000000-0005-0000-0000-00000E050000}"/>
    <cellStyle name="40% - Accent5 4 2 2" xfId="5975" xr:uid="{00000000-0005-0000-0000-00000F050000}"/>
    <cellStyle name="40% - Accent5 4 2 3" xfId="5976" xr:uid="{00000000-0005-0000-0000-000010050000}"/>
    <cellStyle name="40% - Accent5 4 3" xfId="5977" xr:uid="{00000000-0005-0000-0000-000011050000}"/>
    <cellStyle name="40% - Accent5 4 4" xfId="5978" xr:uid="{00000000-0005-0000-0000-000012050000}"/>
    <cellStyle name="40% - Accent5 4_Budget incorporated 2011-2012 last101011" xfId="370" xr:uid="{00000000-0005-0000-0000-000013050000}"/>
    <cellStyle name="40% - Accent5 5" xfId="371" xr:uid="{00000000-0005-0000-0000-000014050000}"/>
    <cellStyle name="40% - Accent5 5 2" xfId="5979" xr:uid="{00000000-0005-0000-0000-000015050000}"/>
    <cellStyle name="40% - Accent5 5 3" xfId="5980" xr:uid="{00000000-0005-0000-0000-000016050000}"/>
    <cellStyle name="40% - Accent5 6" xfId="372" xr:uid="{00000000-0005-0000-0000-000017050000}"/>
    <cellStyle name="40% - Accent5 6 2" xfId="373" xr:uid="{00000000-0005-0000-0000-000018050000}"/>
    <cellStyle name="40% - Accent5 7" xfId="374" xr:uid="{00000000-0005-0000-0000-000019050000}"/>
    <cellStyle name="40% - Accent5 7 2" xfId="375" xr:uid="{00000000-0005-0000-0000-00001A050000}"/>
    <cellStyle name="40% - Accent6" xfId="376" xr:uid="{00000000-0005-0000-0000-00001B050000}"/>
    <cellStyle name="40% - Accent6 2" xfId="377" xr:uid="{00000000-0005-0000-0000-00001C050000}"/>
    <cellStyle name="40% - Accent6 2 10" xfId="378" xr:uid="{00000000-0005-0000-0000-00001D050000}"/>
    <cellStyle name="40% - Accent6 2 10 2" xfId="5981" xr:uid="{00000000-0005-0000-0000-00001E050000}"/>
    <cellStyle name="40% - Accent6 2 10 3" xfId="5982" xr:uid="{00000000-0005-0000-0000-00001F050000}"/>
    <cellStyle name="40% - Accent6 2 10 4" xfId="5983" xr:uid="{00000000-0005-0000-0000-000020050000}"/>
    <cellStyle name="40% - Accent6 2 11" xfId="5984" xr:uid="{00000000-0005-0000-0000-000021050000}"/>
    <cellStyle name="40% - Accent6 2 11 2" xfId="5985" xr:uid="{00000000-0005-0000-0000-000022050000}"/>
    <cellStyle name="40% - Accent6 2 11 3" xfId="5986" xr:uid="{00000000-0005-0000-0000-000023050000}"/>
    <cellStyle name="40% - Accent6 2 12" xfId="5987" xr:uid="{00000000-0005-0000-0000-000024050000}"/>
    <cellStyle name="40% - Accent6 2 12 2" xfId="5988" xr:uid="{00000000-0005-0000-0000-000025050000}"/>
    <cellStyle name="40% - Accent6 2 12 3" xfId="5989" xr:uid="{00000000-0005-0000-0000-000026050000}"/>
    <cellStyle name="40% - Accent6 2 13" xfId="5990" xr:uid="{00000000-0005-0000-0000-000027050000}"/>
    <cellStyle name="40% - Accent6 2 13 2" xfId="5991" xr:uid="{00000000-0005-0000-0000-000028050000}"/>
    <cellStyle name="40% - Accent6 2 13 3" xfId="5992" xr:uid="{00000000-0005-0000-0000-000029050000}"/>
    <cellStyle name="40% - Accent6 2 14" xfId="5993" xr:uid="{00000000-0005-0000-0000-00002A050000}"/>
    <cellStyle name="40% - Accent6 2 14 2" xfId="5994" xr:uid="{00000000-0005-0000-0000-00002B050000}"/>
    <cellStyle name="40% - Accent6 2 14 3" xfId="5995" xr:uid="{00000000-0005-0000-0000-00002C050000}"/>
    <cellStyle name="40% - Accent6 2 15" xfId="5996" xr:uid="{00000000-0005-0000-0000-00002D050000}"/>
    <cellStyle name="40% - Accent6 2 15 2" xfId="5997" xr:uid="{00000000-0005-0000-0000-00002E050000}"/>
    <cellStyle name="40% - Accent6 2 15 3" xfId="5998" xr:uid="{00000000-0005-0000-0000-00002F050000}"/>
    <cellStyle name="40% - Accent6 2 16" xfId="5999" xr:uid="{00000000-0005-0000-0000-000030050000}"/>
    <cellStyle name="40% - Accent6 2 16 2" xfId="6000" xr:uid="{00000000-0005-0000-0000-000031050000}"/>
    <cellStyle name="40% - Accent6 2 16 3" xfId="6001" xr:uid="{00000000-0005-0000-0000-000032050000}"/>
    <cellStyle name="40% - Accent6 2 17" xfId="6002" xr:uid="{00000000-0005-0000-0000-000033050000}"/>
    <cellStyle name="40% - Accent6 2 17 2" xfId="6003" xr:uid="{00000000-0005-0000-0000-000034050000}"/>
    <cellStyle name="40% - Accent6 2 17 3" xfId="6004" xr:uid="{00000000-0005-0000-0000-000035050000}"/>
    <cellStyle name="40% - Accent6 2 18" xfId="6005" xr:uid="{00000000-0005-0000-0000-000036050000}"/>
    <cellStyle name="40% - Accent6 2 18 2" xfId="6006" xr:uid="{00000000-0005-0000-0000-000037050000}"/>
    <cellStyle name="40% - Accent6 2 18 3" xfId="6007" xr:uid="{00000000-0005-0000-0000-000038050000}"/>
    <cellStyle name="40% - Accent6 2 19" xfId="6008" xr:uid="{00000000-0005-0000-0000-000039050000}"/>
    <cellStyle name="40% - Accent6 2 2" xfId="379" xr:uid="{00000000-0005-0000-0000-00003A050000}"/>
    <cellStyle name="40% - Accent6 2 2 2" xfId="6009" xr:uid="{00000000-0005-0000-0000-00003B050000}"/>
    <cellStyle name="40% - Accent6 2 2 3" xfId="6010" xr:uid="{00000000-0005-0000-0000-00003C050000}"/>
    <cellStyle name="40% - Accent6 2 20" xfId="6011" xr:uid="{00000000-0005-0000-0000-00003D050000}"/>
    <cellStyle name="40% - Accent6 2 21" xfId="6012" xr:uid="{00000000-0005-0000-0000-00003E050000}"/>
    <cellStyle name="40% - Accent6 2 22" xfId="6013" xr:uid="{00000000-0005-0000-0000-00003F050000}"/>
    <cellStyle name="40% - Accent6 2 23" xfId="6014" xr:uid="{00000000-0005-0000-0000-000040050000}"/>
    <cellStyle name="40% - Accent6 2 24" xfId="6015" xr:uid="{00000000-0005-0000-0000-000041050000}"/>
    <cellStyle name="40% - Accent6 2 25" xfId="6016" xr:uid="{00000000-0005-0000-0000-000042050000}"/>
    <cellStyle name="40% - Accent6 2 26" xfId="6017" xr:uid="{00000000-0005-0000-0000-000043050000}"/>
    <cellStyle name="40% - Accent6 2 27" xfId="6018" xr:uid="{00000000-0005-0000-0000-000044050000}"/>
    <cellStyle name="40% - Accent6 2 28" xfId="6019" xr:uid="{00000000-0005-0000-0000-000045050000}"/>
    <cellStyle name="40% - Accent6 2 3" xfId="380" xr:uid="{00000000-0005-0000-0000-000046050000}"/>
    <cellStyle name="40% - Accent6 2 3 10" xfId="6020" xr:uid="{00000000-0005-0000-0000-000047050000}"/>
    <cellStyle name="40% - Accent6 2 3 2" xfId="381" xr:uid="{00000000-0005-0000-0000-000048050000}"/>
    <cellStyle name="40% - Accent6 2 3 2 2" xfId="6021" xr:uid="{00000000-0005-0000-0000-000049050000}"/>
    <cellStyle name="40% - Accent6 2 3 3" xfId="382" xr:uid="{00000000-0005-0000-0000-00004A050000}"/>
    <cellStyle name="40% - Accent6 2 3 3 2" xfId="6022" xr:uid="{00000000-0005-0000-0000-00004B050000}"/>
    <cellStyle name="40% - Accent6 2 3 4" xfId="383" xr:uid="{00000000-0005-0000-0000-00004C050000}"/>
    <cellStyle name="40% - Accent6 2 3 4 2" xfId="6023" xr:uid="{00000000-0005-0000-0000-00004D050000}"/>
    <cellStyle name="40% - Accent6 2 3 5" xfId="384" xr:uid="{00000000-0005-0000-0000-00004E050000}"/>
    <cellStyle name="40% - Accent6 2 3 5 2" xfId="6024" xr:uid="{00000000-0005-0000-0000-00004F050000}"/>
    <cellStyle name="40% - Accent6 2 3 6" xfId="385" xr:uid="{00000000-0005-0000-0000-000050050000}"/>
    <cellStyle name="40% - Accent6 2 3 6 2" xfId="6025" xr:uid="{00000000-0005-0000-0000-000051050000}"/>
    <cellStyle name="40% - Accent6 2 3 7" xfId="386" xr:uid="{00000000-0005-0000-0000-000052050000}"/>
    <cellStyle name="40% - Accent6 2 3 7 2" xfId="6026" xr:uid="{00000000-0005-0000-0000-000053050000}"/>
    <cellStyle name="40% - Accent6 2 3 8" xfId="387" xr:uid="{00000000-0005-0000-0000-000054050000}"/>
    <cellStyle name="40% - Accent6 2 3 8 2" xfId="6027" xr:uid="{00000000-0005-0000-0000-000055050000}"/>
    <cellStyle name="40% - Accent6 2 3 9" xfId="6028" xr:uid="{00000000-0005-0000-0000-000056050000}"/>
    <cellStyle name="40% - Accent6 2 4" xfId="388" xr:uid="{00000000-0005-0000-0000-000057050000}"/>
    <cellStyle name="40% - Accent6 2 4 10" xfId="6029" xr:uid="{00000000-0005-0000-0000-000058050000}"/>
    <cellStyle name="40% - Accent6 2 4 11" xfId="6030" xr:uid="{00000000-0005-0000-0000-000059050000}"/>
    <cellStyle name="40% - Accent6 2 4 2" xfId="6031" xr:uid="{00000000-0005-0000-0000-00005A050000}"/>
    <cellStyle name="40% - Accent6 2 4 2 2" xfId="6032" xr:uid="{00000000-0005-0000-0000-00005B050000}"/>
    <cellStyle name="40% - Accent6 2 4 3" xfId="6033" xr:uid="{00000000-0005-0000-0000-00005C050000}"/>
    <cellStyle name="40% - Accent6 2 4 4" xfId="6034" xr:uid="{00000000-0005-0000-0000-00005D050000}"/>
    <cellStyle name="40% - Accent6 2 4 5" xfId="6035" xr:uid="{00000000-0005-0000-0000-00005E050000}"/>
    <cellStyle name="40% - Accent6 2 4 6" xfId="6036" xr:uid="{00000000-0005-0000-0000-00005F050000}"/>
    <cellStyle name="40% - Accent6 2 4 7" xfId="6037" xr:uid="{00000000-0005-0000-0000-000060050000}"/>
    <cellStyle name="40% - Accent6 2 4 8" xfId="6038" xr:uid="{00000000-0005-0000-0000-000061050000}"/>
    <cellStyle name="40% - Accent6 2 4 9" xfId="6039" xr:uid="{00000000-0005-0000-0000-000062050000}"/>
    <cellStyle name="40% - Accent6 2 5" xfId="389" xr:uid="{00000000-0005-0000-0000-000063050000}"/>
    <cellStyle name="40% - Accent6 2 5 10" xfId="6040" xr:uid="{00000000-0005-0000-0000-000064050000}"/>
    <cellStyle name="40% - Accent6 2 5 11" xfId="6041" xr:uid="{00000000-0005-0000-0000-000065050000}"/>
    <cellStyle name="40% - Accent6 2 5 2" xfId="6042" xr:uid="{00000000-0005-0000-0000-000066050000}"/>
    <cellStyle name="40% - Accent6 2 5 2 2" xfId="6043" xr:uid="{00000000-0005-0000-0000-000067050000}"/>
    <cellStyle name="40% - Accent6 2 5 3" xfId="6044" xr:uid="{00000000-0005-0000-0000-000068050000}"/>
    <cellStyle name="40% - Accent6 2 5 4" xfId="6045" xr:uid="{00000000-0005-0000-0000-000069050000}"/>
    <cellStyle name="40% - Accent6 2 5 5" xfId="6046" xr:uid="{00000000-0005-0000-0000-00006A050000}"/>
    <cellStyle name="40% - Accent6 2 5 6" xfId="6047" xr:uid="{00000000-0005-0000-0000-00006B050000}"/>
    <cellStyle name="40% - Accent6 2 5 7" xfId="6048" xr:uid="{00000000-0005-0000-0000-00006C050000}"/>
    <cellStyle name="40% - Accent6 2 5 8" xfId="6049" xr:uid="{00000000-0005-0000-0000-00006D050000}"/>
    <cellStyle name="40% - Accent6 2 5 9" xfId="6050" xr:uid="{00000000-0005-0000-0000-00006E050000}"/>
    <cellStyle name="40% - Accent6 2 6" xfId="390" xr:uid="{00000000-0005-0000-0000-00006F050000}"/>
    <cellStyle name="40% - Accent6 2 6 2" xfId="6051" xr:uid="{00000000-0005-0000-0000-000070050000}"/>
    <cellStyle name="40% - Accent6 2 6 3" xfId="6052" xr:uid="{00000000-0005-0000-0000-000071050000}"/>
    <cellStyle name="40% - Accent6 2 7" xfId="391" xr:uid="{00000000-0005-0000-0000-000072050000}"/>
    <cellStyle name="40% - Accent6 2 7 2" xfId="6053" xr:uid="{00000000-0005-0000-0000-000073050000}"/>
    <cellStyle name="40% - Accent6 2 7 3" xfId="6054" xr:uid="{00000000-0005-0000-0000-000074050000}"/>
    <cellStyle name="40% - Accent6 2 8" xfId="392" xr:uid="{00000000-0005-0000-0000-000075050000}"/>
    <cellStyle name="40% - Accent6 2 8 2" xfId="6055" xr:uid="{00000000-0005-0000-0000-000076050000}"/>
    <cellStyle name="40% - Accent6 2 8 3" xfId="6056" xr:uid="{00000000-0005-0000-0000-000077050000}"/>
    <cellStyle name="40% - Accent6 2 9" xfId="393" xr:uid="{00000000-0005-0000-0000-000078050000}"/>
    <cellStyle name="40% - Accent6 2 9 2" xfId="6057" xr:uid="{00000000-0005-0000-0000-000079050000}"/>
    <cellStyle name="40% - Accent6 2 9 3" xfId="6058" xr:uid="{00000000-0005-0000-0000-00007A050000}"/>
    <cellStyle name="40% - Accent6 2_Blood_21months_EURO" xfId="394" xr:uid="{00000000-0005-0000-0000-00007B050000}"/>
    <cellStyle name="40% - Accent6 3" xfId="395" xr:uid="{00000000-0005-0000-0000-00007C050000}"/>
    <cellStyle name="40% - Accent6 3 2" xfId="396" xr:uid="{00000000-0005-0000-0000-00007D050000}"/>
    <cellStyle name="40% - Accent6 3 2 2" xfId="6059" xr:uid="{00000000-0005-0000-0000-00007E050000}"/>
    <cellStyle name="40% - Accent6 3 2 3" xfId="6060" xr:uid="{00000000-0005-0000-0000-00007F050000}"/>
    <cellStyle name="40% - Accent6 3 3" xfId="6061" xr:uid="{00000000-0005-0000-0000-000080050000}"/>
    <cellStyle name="40% - Accent6 3 4" xfId="6062" xr:uid="{00000000-0005-0000-0000-000081050000}"/>
    <cellStyle name="40% - Accent6 3_Budget incorporated 2011-2012 last101011" xfId="397" xr:uid="{00000000-0005-0000-0000-000082050000}"/>
    <cellStyle name="40% - Accent6 4" xfId="398" xr:uid="{00000000-0005-0000-0000-000083050000}"/>
    <cellStyle name="40% - Accent6 4 2" xfId="399" xr:uid="{00000000-0005-0000-0000-000084050000}"/>
    <cellStyle name="40% - Accent6 4 2 2" xfId="6063" xr:uid="{00000000-0005-0000-0000-000085050000}"/>
    <cellStyle name="40% - Accent6 4 2 3" xfId="6064" xr:uid="{00000000-0005-0000-0000-000086050000}"/>
    <cellStyle name="40% - Accent6 4 3" xfId="6065" xr:uid="{00000000-0005-0000-0000-000087050000}"/>
    <cellStyle name="40% - Accent6 4 4" xfId="6066" xr:uid="{00000000-0005-0000-0000-000088050000}"/>
    <cellStyle name="40% - Accent6 4_Budget incorporated 2011-2012 last101011" xfId="400" xr:uid="{00000000-0005-0000-0000-000089050000}"/>
    <cellStyle name="40% - Accent6 5" xfId="401" xr:uid="{00000000-0005-0000-0000-00008A050000}"/>
    <cellStyle name="40% - Accent6 5 2" xfId="6067" xr:uid="{00000000-0005-0000-0000-00008B050000}"/>
    <cellStyle name="40% - Accent6 5 3" xfId="6068" xr:uid="{00000000-0005-0000-0000-00008C050000}"/>
    <cellStyle name="40% - Accent6 6" xfId="402" xr:uid="{00000000-0005-0000-0000-00008D050000}"/>
    <cellStyle name="40% - Accent6 6 2" xfId="403" xr:uid="{00000000-0005-0000-0000-00008E050000}"/>
    <cellStyle name="40% - Accent6 7" xfId="404" xr:uid="{00000000-0005-0000-0000-00008F050000}"/>
    <cellStyle name="40% - Accent6 7 2" xfId="405" xr:uid="{00000000-0005-0000-0000-000090050000}"/>
    <cellStyle name="40% - Акцент1 10" xfId="6069" xr:uid="{00000000-0005-0000-0000-000091050000}"/>
    <cellStyle name="40% - Акцент1 10 2" xfId="6070" xr:uid="{00000000-0005-0000-0000-000092050000}"/>
    <cellStyle name="40% - Акцент1 10 3" xfId="6071" xr:uid="{00000000-0005-0000-0000-000093050000}"/>
    <cellStyle name="40% - Акцент1 11" xfId="6072" xr:uid="{00000000-0005-0000-0000-000094050000}"/>
    <cellStyle name="40% - Акцент1 11 2" xfId="6073" xr:uid="{00000000-0005-0000-0000-000095050000}"/>
    <cellStyle name="40% - Акцент1 11 3" xfId="6074" xr:uid="{00000000-0005-0000-0000-000096050000}"/>
    <cellStyle name="40% - Акцент1 12" xfId="6075" xr:uid="{00000000-0005-0000-0000-000097050000}"/>
    <cellStyle name="40% - Акцент1 12 2" xfId="6076" xr:uid="{00000000-0005-0000-0000-000098050000}"/>
    <cellStyle name="40% - Акцент1 12 3" xfId="6077" xr:uid="{00000000-0005-0000-0000-000099050000}"/>
    <cellStyle name="40% - Акцент1 13" xfId="6078" xr:uid="{00000000-0005-0000-0000-00009A050000}"/>
    <cellStyle name="40% - Акцент1 13 2" xfId="6079" xr:uid="{00000000-0005-0000-0000-00009B050000}"/>
    <cellStyle name="40% - Акцент1 13 3" xfId="6080" xr:uid="{00000000-0005-0000-0000-00009C050000}"/>
    <cellStyle name="40% - Акцент1 14" xfId="6081" xr:uid="{00000000-0005-0000-0000-00009D050000}"/>
    <cellStyle name="40% - Акцент1 14 2" xfId="6082" xr:uid="{00000000-0005-0000-0000-00009E050000}"/>
    <cellStyle name="40% - Акцент1 14 3" xfId="6083" xr:uid="{00000000-0005-0000-0000-00009F050000}"/>
    <cellStyle name="40% - Акцент1 15" xfId="6084" xr:uid="{00000000-0005-0000-0000-0000A0050000}"/>
    <cellStyle name="40% - Акцент1 15 2" xfId="6085" xr:uid="{00000000-0005-0000-0000-0000A1050000}"/>
    <cellStyle name="40% - Акцент1 15 3" xfId="6086" xr:uid="{00000000-0005-0000-0000-0000A2050000}"/>
    <cellStyle name="40% - Акцент1 16" xfId="6087" xr:uid="{00000000-0005-0000-0000-0000A3050000}"/>
    <cellStyle name="40% - Акцент1 16 2" xfId="6088" xr:uid="{00000000-0005-0000-0000-0000A4050000}"/>
    <cellStyle name="40% - Акцент1 16 3" xfId="6089" xr:uid="{00000000-0005-0000-0000-0000A5050000}"/>
    <cellStyle name="40% - Акцент1 17" xfId="6090" xr:uid="{00000000-0005-0000-0000-0000A6050000}"/>
    <cellStyle name="40% - Акцент1 17 2" xfId="6091" xr:uid="{00000000-0005-0000-0000-0000A7050000}"/>
    <cellStyle name="40% - Акцент1 17 3" xfId="6092" xr:uid="{00000000-0005-0000-0000-0000A8050000}"/>
    <cellStyle name="40% - Акцент1 18" xfId="6093" xr:uid="{00000000-0005-0000-0000-0000A9050000}"/>
    <cellStyle name="40% - Акцент1 18 2" xfId="6094" xr:uid="{00000000-0005-0000-0000-0000AA050000}"/>
    <cellStyle name="40% - Акцент1 18 3" xfId="6095" xr:uid="{00000000-0005-0000-0000-0000AB050000}"/>
    <cellStyle name="40% - Акцент1 19" xfId="6096" xr:uid="{00000000-0005-0000-0000-0000AC050000}"/>
    <cellStyle name="40% - Акцент1 19 2" xfId="6097" xr:uid="{00000000-0005-0000-0000-0000AD050000}"/>
    <cellStyle name="40% - Акцент1 19 3" xfId="6098" xr:uid="{00000000-0005-0000-0000-0000AE050000}"/>
    <cellStyle name="40% - Акцент1 2" xfId="406" xr:uid="{00000000-0005-0000-0000-0000AF050000}"/>
    <cellStyle name="40% - Акцент1 2 2" xfId="407" xr:uid="{00000000-0005-0000-0000-0000B0050000}"/>
    <cellStyle name="40% - Акцент1 2 3" xfId="408" xr:uid="{00000000-0005-0000-0000-0000B1050000}"/>
    <cellStyle name="40% - Акцент1 2 4" xfId="409" xr:uid="{00000000-0005-0000-0000-0000B2050000}"/>
    <cellStyle name="40% - Акцент1 2 5" xfId="410" xr:uid="{00000000-0005-0000-0000-0000B3050000}"/>
    <cellStyle name="40% - Акцент1 2 6" xfId="411" xr:uid="{00000000-0005-0000-0000-0000B4050000}"/>
    <cellStyle name="40% - Акцент1 2 7" xfId="412" xr:uid="{00000000-0005-0000-0000-0000B5050000}"/>
    <cellStyle name="40% - Акцент1 2 8" xfId="413" xr:uid="{00000000-0005-0000-0000-0000B6050000}"/>
    <cellStyle name="40% - Акцент1 2 9" xfId="414" xr:uid="{00000000-0005-0000-0000-0000B7050000}"/>
    <cellStyle name="40% - Акцент1 20" xfId="6099" xr:uid="{00000000-0005-0000-0000-0000B8050000}"/>
    <cellStyle name="40% - Акцент1 21" xfId="6100" xr:uid="{00000000-0005-0000-0000-0000B9050000}"/>
    <cellStyle name="40% - Акцент1 3" xfId="415" xr:uid="{00000000-0005-0000-0000-0000BA050000}"/>
    <cellStyle name="40% - Акцент1 3 2" xfId="6101" xr:uid="{00000000-0005-0000-0000-0000BB050000}"/>
    <cellStyle name="40% - Акцент1 3 3" xfId="6102" xr:uid="{00000000-0005-0000-0000-0000BC050000}"/>
    <cellStyle name="40% - Акцент1 4" xfId="416" xr:uid="{00000000-0005-0000-0000-0000BD050000}"/>
    <cellStyle name="40% - Акцент1 4 2" xfId="417" xr:uid="{00000000-0005-0000-0000-0000BE050000}"/>
    <cellStyle name="40% - Акцент1 4 3" xfId="6103" xr:uid="{00000000-0005-0000-0000-0000BF050000}"/>
    <cellStyle name="40% - Акцент1 5" xfId="418" xr:uid="{00000000-0005-0000-0000-0000C0050000}"/>
    <cellStyle name="40% - Акцент1 5 2" xfId="6104" xr:uid="{00000000-0005-0000-0000-0000C1050000}"/>
    <cellStyle name="40% - Акцент1 5 3" xfId="6105" xr:uid="{00000000-0005-0000-0000-0000C2050000}"/>
    <cellStyle name="40% - Акцент1 6" xfId="6106" xr:uid="{00000000-0005-0000-0000-0000C3050000}"/>
    <cellStyle name="40% - Акцент1 6 2" xfId="6107" xr:uid="{00000000-0005-0000-0000-0000C4050000}"/>
    <cellStyle name="40% - Акцент1 6 3" xfId="6108" xr:uid="{00000000-0005-0000-0000-0000C5050000}"/>
    <cellStyle name="40% - Акцент1 7" xfId="6109" xr:uid="{00000000-0005-0000-0000-0000C6050000}"/>
    <cellStyle name="40% - Акцент1 7 2" xfId="6110" xr:uid="{00000000-0005-0000-0000-0000C7050000}"/>
    <cellStyle name="40% - Акцент1 7 3" xfId="6111" xr:uid="{00000000-0005-0000-0000-0000C8050000}"/>
    <cellStyle name="40% - Акцент1 8" xfId="6112" xr:uid="{00000000-0005-0000-0000-0000C9050000}"/>
    <cellStyle name="40% - Акцент1 8 2" xfId="6113" xr:uid="{00000000-0005-0000-0000-0000CA050000}"/>
    <cellStyle name="40% - Акцент1 8 3" xfId="6114" xr:uid="{00000000-0005-0000-0000-0000CB050000}"/>
    <cellStyle name="40% - Акцент1 9" xfId="6115" xr:uid="{00000000-0005-0000-0000-0000CC050000}"/>
    <cellStyle name="40% - Акцент1 9 2" xfId="6116" xr:uid="{00000000-0005-0000-0000-0000CD050000}"/>
    <cellStyle name="40% - Акцент1 9 3" xfId="6117" xr:uid="{00000000-0005-0000-0000-0000CE050000}"/>
    <cellStyle name="40% - Акцент2 2" xfId="419" xr:uid="{00000000-0005-0000-0000-0000CF050000}"/>
    <cellStyle name="40% - Акцент2 2 2" xfId="420" xr:uid="{00000000-0005-0000-0000-0000D0050000}"/>
    <cellStyle name="40% - Акцент2 2 3" xfId="421" xr:uid="{00000000-0005-0000-0000-0000D1050000}"/>
    <cellStyle name="40% - Акцент2 2 4" xfId="422" xr:uid="{00000000-0005-0000-0000-0000D2050000}"/>
    <cellStyle name="40% - Акцент2 2 5" xfId="423" xr:uid="{00000000-0005-0000-0000-0000D3050000}"/>
    <cellStyle name="40% - Акцент2 2 6" xfId="424" xr:uid="{00000000-0005-0000-0000-0000D4050000}"/>
    <cellStyle name="40% - Акцент2 2 7" xfId="425" xr:uid="{00000000-0005-0000-0000-0000D5050000}"/>
    <cellStyle name="40% - Акцент2 2 8" xfId="426" xr:uid="{00000000-0005-0000-0000-0000D6050000}"/>
    <cellStyle name="40% - Акцент2 2 9" xfId="427" xr:uid="{00000000-0005-0000-0000-0000D7050000}"/>
    <cellStyle name="40% - Акцент2 3" xfId="428" xr:uid="{00000000-0005-0000-0000-0000D8050000}"/>
    <cellStyle name="40% - Акцент2 3 2" xfId="6118" xr:uid="{00000000-0005-0000-0000-0000D9050000}"/>
    <cellStyle name="40% - Акцент2 3 3" xfId="6119" xr:uid="{00000000-0005-0000-0000-0000DA050000}"/>
    <cellStyle name="40% - Акцент2 4" xfId="6120" xr:uid="{00000000-0005-0000-0000-0000DB050000}"/>
    <cellStyle name="40% - Акцент2 5" xfId="6121" xr:uid="{00000000-0005-0000-0000-0000DC050000}"/>
    <cellStyle name="40% - Акцент3 10" xfId="6122" xr:uid="{00000000-0005-0000-0000-0000DD050000}"/>
    <cellStyle name="40% - Акцент3 10 2" xfId="6123" xr:uid="{00000000-0005-0000-0000-0000DE050000}"/>
    <cellStyle name="40% - Акцент3 10 3" xfId="6124" xr:uid="{00000000-0005-0000-0000-0000DF050000}"/>
    <cellStyle name="40% - Акцент3 11" xfId="6125" xr:uid="{00000000-0005-0000-0000-0000E0050000}"/>
    <cellStyle name="40% - Акцент3 11 2" xfId="6126" xr:uid="{00000000-0005-0000-0000-0000E1050000}"/>
    <cellStyle name="40% - Акцент3 11 3" xfId="6127" xr:uid="{00000000-0005-0000-0000-0000E2050000}"/>
    <cellStyle name="40% - Акцент3 12" xfId="6128" xr:uid="{00000000-0005-0000-0000-0000E3050000}"/>
    <cellStyle name="40% - Акцент3 12 2" xfId="6129" xr:uid="{00000000-0005-0000-0000-0000E4050000}"/>
    <cellStyle name="40% - Акцент3 12 3" xfId="6130" xr:uid="{00000000-0005-0000-0000-0000E5050000}"/>
    <cellStyle name="40% - Акцент3 13" xfId="6131" xr:uid="{00000000-0005-0000-0000-0000E6050000}"/>
    <cellStyle name="40% - Акцент3 13 2" xfId="6132" xr:uid="{00000000-0005-0000-0000-0000E7050000}"/>
    <cellStyle name="40% - Акцент3 13 3" xfId="6133" xr:uid="{00000000-0005-0000-0000-0000E8050000}"/>
    <cellStyle name="40% - Акцент3 14" xfId="6134" xr:uid="{00000000-0005-0000-0000-0000E9050000}"/>
    <cellStyle name="40% - Акцент3 14 2" xfId="6135" xr:uid="{00000000-0005-0000-0000-0000EA050000}"/>
    <cellStyle name="40% - Акцент3 14 3" xfId="6136" xr:uid="{00000000-0005-0000-0000-0000EB050000}"/>
    <cellStyle name="40% - Акцент3 15" xfId="6137" xr:uid="{00000000-0005-0000-0000-0000EC050000}"/>
    <cellStyle name="40% - Акцент3 15 2" xfId="6138" xr:uid="{00000000-0005-0000-0000-0000ED050000}"/>
    <cellStyle name="40% - Акцент3 15 3" xfId="6139" xr:uid="{00000000-0005-0000-0000-0000EE050000}"/>
    <cellStyle name="40% - Акцент3 16" xfId="6140" xr:uid="{00000000-0005-0000-0000-0000EF050000}"/>
    <cellStyle name="40% - Акцент3 16 2" xfId="6141" xr:uid="{00000000-0005-0000-0000-0000F0050000}"/>
    <cellStyle name="40% - Акцент3 16 3" xfId="6142" xr:uid="{00000000-0005-0000-0000-0000F1050000}"/>
    <cellStyle name="40% - Акцент3 17" xfId="6143" xr:uid="{00000000-0005-0000-0000-0000F2050000}"/>
    <cellStyle name="40% - Акцент3 17 2" xfId="6144" xr:uid="{00000000-0005-0000-0000-0000F3050000}"/>
    <cellStyle name="40% - Акцент3 17 3" xfId="6145" xr:uid="{00000000-0005-0000-0000-0000F4050000}"/>
    <cellStyle name="40% - Акцент3 18" xfId="6146" xr:uid="{00000000-0005-0000-0000-0000F5050000}"/>
    <cellStyle name="40% - Акцент3 18 2" xfId="6147" xr:uid="{00000000-0005-0000-0000-0000F6050000}"/>
    <cellStyle name="40% - Акцент3 18 3" xfId="6148" xr:uid="{00000000-0005-0000-0000-0000F7050000}"/>
    <cellStyle name="40% - Акцент3 19" xfId="6149" xr:uid="{00000000-0005-0000-0000-0000F8050000}"/>
    <cellStyle name="40% - Акцент3 19 2" xfId="6150" xr:uid="{00000000-0005-0000-0000-0000F9050000}"/>
    <cellStyle name="40% - Акцент3 19 3" xfId="6151" xr:uid="{00000000-0005-0000-0000-0000FA050000}"/>
    <cellStyle name="40% - Акцент3 2" xfId="429" xr:uid="{00000000-0005-0000-0000-0000FB050000}"/>
    <cellStyle name="40% - Акцент3 2 2" xfId="430" xr:uid="{00000000-0005-0000-0000-0000FC050000}"/>
    <cellStyle name="40% - Акцент3 2 3" xfId="431" xr:uid="{00000000-0005-0000-0000-0000FD050000}"/>
    <cellStyle name="40% - Акцент3 2 4" xfId="432" xr:uid="{00000000-0005-0000-0000-0000FE050000}"/>
    <cellStyle name="40% - Акцент3 2 5" xfId="433" xr:uid="{00000000-0005-0000-0000-0000FF050000}"/>
    <cellStyle name="40% - Акцент3 2 6" xfId="434" xr:uid="{00000000-0005-0000-0000-000000060000}"/>
    <cellStyle name="40% - Акцент3 2 7" xfId="435" xr:uid="{00000000-0005-0000-0000-000001060000}"/>
    <cellStyle name="40% - Акцент3 2 8" xfId="436" xr:uid="{00000000-0005-0000-0000-000002060000}"/>
    <cellStyle name="40% - Акцент3 2 9" xfId="437" xr:uid="{00000000-0005-0000-0000-000003060000}"/>
    <cellStyle name="40% - Акцент3 20" xfId="6152" xr:uid="{00000000-0005-0000-0000-000004060000}"/>
    <cellStyle name="40% - Акцент3 21" xfId="6153" xr:uid="{00000000-0005-0000-0000-000005060000}"/>
    <cellStyle name="40% - Акцент3 3" xfId="438" xr:uid="{00000000-0005-0000-0000-000006060000}"/>
    <cellStyle name="40% - Акцент3 3 2" xfId="6154" xr:uid="{00000000-0005-0000-0000-000007060000}"/>
    <cellStyle name="40% - Акцент3 3 3" xfId="6155" xr:uid="{00000000-0005-0000-0000-000008060000}"/>
    <cellStyle name="40% - Акцент3 4" xfId="439" xr:uid="{00000000-0005-0000-0000-000009060000}"/>
    <cellStyle name="40% - Акцент3 4 2" xfId="440" xr:uid="{00000000-0005-0000-0000-00000A060000}"/>
    <cellStyle name="40% - Акцент3 4 3" xfId="6156" xr:uid="{00000000-0005-0000-0000-00000B060000}"/>
    <cellStyle name="40% - Акцент3 5" xfId="441" xr:uid="{00000000-0005-0000-0000-00000C060000}"/>
    <cellStyle name="40% - Акцент3 5 2" xfId="6157" xr:uid="{00000000-0005-0000-0000-00000D060000}"/>
    <cellStyle name="40% - Акцент3 5 3" xfId="6158" xr:uid="{00000000-0005-0000-0000-00000E060000}"/>
    <cellStyle name="40% - Акцент3 6" xfId="6159" xr:uid="{00000000-0005-0000-0000-00000F060000}"/>
    <cellStyle name="40% - Акцент3 6 2" xfId="6160" xr:uid="{00000000-0005-0000-0000-000010060000}"/>
    <cellStyle name="40% - Акцент3 6 3" xfId="6161" xr:uid="{00000000-0005-0000-0000-000011060000}"/>
    <cellStyle name="40% - Акцент3 7" xfId="6162" xr:uid="{00000000-0005-0000-0000-000012060000}"/>
    <cellStyle name="40% - Акцент3 7 2" xfId="6163" xr:uid="{00000000-0005-0000-0000-000013060000}"/>
    <cellStyle name="40% - Акцент3 7 3" xfId="6164" xr:uid="{00000000-0005-0000-0000-000014060000}"/>
    <cellStyle name="40% - Акцент3 8" xfId="6165" xr:uid="{00000000-0005-0000-0000-000015060000}"/>
    <cellStyle name="40% - Акцент3 8 2" xfId="6166" xr:uid="{00000000-0005-0000-0000-000016060000}"/>
    <cellStyle name="40% - Акцент3 8 3" xfId="6167" xr:uid="{00000000-0005-0000-0000-000017060000}"/>
    <cellStyle name="40% - Акцент3 9" xfId="6168" xr:uid="{00000000-0005-0000-0000-000018060000}"/>
    <cellStyle name="40% - Акцент3 9 2" xfId="6169" xr:uid="{00000000-0005-0000-0000-000019060000}"/>
    <cellStyle name="40% - Акцент3 9 3" xfId="6170" xr:uid="{00000000-0005-0000-0000-00001A060000}"/>
    <cellStyle name="40% - Акцент4 10" xfId="6171" xr:uid="{00000000-0005-0000-0000-00001B060000}"/>
    <cellStyle name="40% - Акцент4 10 2" xfId="6172" xr:uid="{00000000-0005-0000-0000-00001C060000}"/>
    <cellStyle name="40% - Акцент4 10 3" xfId="6173" xr:uid="{00000000-0005-0000-0000-00001D060000}"/>
    <cellStyle name="40% - Акцент4 11" xfId="6174" xr:uid="{00000000-0005-0000-0000-00001E060000}"/>
    <cellStyle name="40% - Акцент4 11 2" xfId="6175" xr:uid="{00000000-0005-0000-0000-00001F060000}"/>
    <cellStyle name="40% - Акцент4 11 3" xfId="6176" xr:uid="{00000000-0005-0000-0000-000020060000}"/>
    <cellStyle name="40% - Акцент4 12" xfId="6177" xr:uid="{00000000-0005-0000-0000-000021060000}"/>
    <cellStyle name="40% - Акцент4 12 2" xfId="6178" xr:uid="{00000000-0005-0000-0000-000022060000}"/>
    <cellStyle name="40% - Акцент4 12 3" xfId="6179" xr:uid="{00000000-0005-0000-0000-000023060000}"/>
    <cellStyle name="40% - Акцент4 13" xfId="6180" xr:uid="{00000000-0005-0000-0000-000024060000}"/>
    <cellStyle name="40% - Акцент4 13 2" xfId="6181" xr:uid="{00000000-0005-0000-0000-000025060000}"/>
    <cellStyle name="40% - Акцент4 13 3" xfId="6182" xr:uid="{00000000-0005-0000-0000-000026060000}"/>
    <cellStyle name="40% - Акцент4 14" xfId="6183" xr:uid="{00000000-0005-0000-0000-000027060000}"/>
    <cellStyle name="40% - Акцент4 14 2" xfId="6184" xr:uid="{00000000-0005-0000-0000-000028060000}"/>
    <cellStyle name="40% - Акцент4 14 3" xfId="6185" xr:uid="{00000000-0005-0000-0000-000029060000}"/>
    <cellStyle name="40% - Акцент4 15" xfId="6186" xr:uid="{00000000-0005-0000-0000-00002A060000}"/>
    <cellStyle name="40% - Акцент4 15 2" xfId="6187" xr:uid="{00000000-0005-0000-0000-00002B060000}"/>
    <cellStyle name="40% - Акцент4 15 3" xfId="6188" xr:uid="{00000000-0005-0000-0000-00002C060000}"/>
    <cellStyle name="40% - Акцент4 16" xfId="6189" xr:uid="{00000000-0005-0000-0000-00002D060000}"/>
    <cellStyle name="40% - Акцент4 16 2" xfId="6190" xr:uid="{00000000-0005-0000-0000-00002E060000}"/>
    <cellStyle name="40% - Акцент4 16 3" xfId="6191" xr:uid="{00000000-0005-0000-0000-00002F060000}"/>
    <cellStyle name="40% - Акцент4 17" xfId="6192" xr:uid="{00000000-0005-0000-0000-000030060000}"/>
    <cellStyle name="40% - Акцент4 17 2" xfId="6193" xr:uid="{00000000-0005-0000-0000-000031060000}"/>
    <cellStyle name="40% - Акцент4 17 3" xfId="6194" xr:uid="{00000000-0005-0000-0000-000032060000}"/>
    <cellStyle name="40% - Акцент4 18" xfId="6195" xr:uid="{00000000-0005-0000-0000-000033060000}"/>
    <cellStyle name="40% - Акцент4 18 2" xfId="6196" xr:uid="{00000000-0005-0000-0000-000034060000}"/>
    <cellStyle name="40% - Акцент4 18 3" xfId="6197" xr:uid="{00000000-0005-0000-0000-000035060000}"/>
    <cellStyle name="40% - Акцент4 19" xfId="6198" xr:uid="{00000000-0005-0000-0000-000036060000}"/>
    <cellStyle name="40% - Акцент4 19 2" xfId="6199" xr:uid="{00000000-0005-0000-0000-000037060000}"/>
    <cellStyle name="40% - Акцент4 19 3" xfId="6200" xr:uid="{00000000-0005-0000-0000-000038060000}"/>
    <cellStyle name="40% - Акцент4 2" xfId="442" xr:uid="{00000000-0005-0000-0000-000039060000}"/>
    <cellStyle name="40% - Акцент4 2 2" xfId="443" xr:uid="{00000000-0005-0000-0000-00003A060000}"/>
    <cellStyle name="40% - Акцент4 2 3" xfId="444" xr:uid="{00000000-0005-0000-0000-00003B060000}"/>
    <cellStyle name="40% - Акцент4 2 4" xfId="445" xr:uid="{00000000-0005-0000-0000-00003C060000}"/>
    <cellStyle name="40% - Акцент4 2 5" xfId="446" xr:uid="{00000000-0005-0000-0000-00003D060000}"/>
    <cellStyle name="40% - Акцент4 2 6" xfId="447" xr:uid="{00000000-0005-0000-0000-00003E060000}"/>
    <cellStyle name="40% - Акцент4 2 7" xfId="448" xr:uid="{00000000-0005-0000-0000-00003F060000}"/>
    <cellStyle name="40% - Акцент4 2 8" xfId="449" xr:uid="{00000000-0005-0000-0000-000040060000}"/>
    <cellStyle name="40% - Акцент4 2 9" xfId="450" xr:uid="{00000000-0005-0000-0000-000041060000}"/>
    <cellStyle name="40% - Акцент4 20" xfId="6201" xr:uid="{00000000-0005-0000-0000-000042060000}"/>
    <cellStyle name="40% - Акцент4 21" xfId="6202" xr:uid="{00000000-0005-0000-0000-000043060000}"/>
    <cellStyle name="40% - Акцент4 3" xfId="451" xr:uid="{00000000-0005-0000-0000-000044060000}"/>
    <cellStyle name="40% - Акцент4 3 2" xfId="6203" xr:uid="{00000000-0005-0000-0000-000045060000}"/>
    <cellStyle name="40% - Акцент4 3 3" xfId="6204" xr:uid="{00000000-0005-0000-0000-000046060000}"/>
    <cellStyle name="40% - Акцент4 4" xfId="452" xr:uid="{00000000-0005-0000-0000-000047060000}"/>
    <cellStyle name="40% - Акцент4 4 2" xfId="453" xr:uid="{00000000-0005-0000-0000-000048060000}"/>
    <cellStyle name="40% - Акцент4 4 3" xfId="6205" xr:uid="{00000000-0005-0000-0000-000049060000}"/>
    <cellStyle name="40% - Акцент4 5" xfId="454" xr:uid="{00000000-0005-0000-0000-00004A060000}"/>
    <cellStyle name="40% - Акцент4 5 2" xfId="6206" xr:uid="{00000000-0005-0000-0000-00004B060000}"/>
    <cellStyle name="40% - Акцент4 5 3" xfId="6207" xr:uid="{00000000-0005-0000-0000-00004C060000}"/>
    <cellStyle name="40% - Акцент4 6" xfId="6208" xr:uid="{00000000-0005-0000-0000-00004D060000}"/>
    <cellStyle name="40% - Акцент4 6 2" xfId="6209" xr:uid="{00000000-0005-0000-0000-00004E060000}"/>
    <cellStyle name="40% - Акцент4 6 3" xfId="6210" xr:uid="{00000000-0005-0000-0000-00004F060000}"/>
    <cellStyle name="40% - Акцент4 7" xfId="6211" xr:uid="{00000000-0005-0000-0000-000050060000}"/>
    <cellStyle name="40% - Акцент4 7 2" xfId="6212" xr:uid="{00000000-0005-0000-0000-000051060000}"/>
    <cellStyle name="40% - Акцент4 7 3" xfId="6213" xr:uid="{00000000-0005-0000-0000-000052060000}"/>
    <cellStyle name="40% - Акцент4 8" xfId="6214" xr:uid="{00000000-0005-0000-0000-000053060000}"/>
    <cellStyle name="40% - Акцент4 8 2" xfId="6215" xr:uid="{00000000-0005-0000-0000-000054060000}"/>
    <cellStyle name="40% - Акцент4 8 3" xfId="6216" xr:uid="{00000000-0005-0000-0000-000055060000}"/>
    <cellStyle name="40% - Акцент4 9" xfId="6217" xr:uid="{00000000-0005-0000-0000-000056060000}"/>
    <cellStyle name="40% - Акцент4 9 2" xfId="6218" xr:uid="{00000000-0005-0000-0000-000057060000}"/>
    <cellStyle name="40% - Акцент4 9 3" xfId="6219" xr:uid="{00000000-0005-0000-0000-000058060000}"/>
    <cellStyle name="40% - Акцент5 2" xfId="455" xr:uid="{00000000-0005-0000-0000-000059060000}"/>
    <cellStyle name="40% - Акцент5 2 2" xfId="456" xr:uid="{00000000-0005-0000-0000-00005A060000}"/>
    <cellStyle name="40% - Акцент5 2 3" xfId="457" xr:uid="{00000000-0005-0000-0000-00005B060000}"/>
    <cellStyle name="40% - Акцент5 2 4" xfId="458" xr:uid="{00000000-0005-0000-0000-00005C060000}"/>
    <cellStyle name="40% - Акцент5 2 5" xfId="459" xr:uid="{00000000-0005-0000-0000-00005D060000}"/>
    <cellStyle name="40% - Акцент5 2 6" xfId="460" xr:uid="{00000000-0005-0000-0000-00005E060000}"/>
    <cellStyle name="40% - Акцент5 2 7" xfId="461" xr:uid="{00000000-0005-0000-0000-00005F060000}"/>
    <cellStyle name="40% - Акцент5 2 8" xfId="462" xr:uid="{00000000-0005-0000-0000-000060060000}"/>
    <cellStyle name="40% - Акцент5 2 9" xfId="463" xr:uid="{00000000-0005-0000-0000-000061060000}"/>
    <cellStyle name="40% - Акцент5 3" xfId="464" xr:uid="{00000000-0005-0000-0000-000062060000}"/>
    <cellStyle name="40% - Акцент5 3 2" xfId="6220" xr:uid="{00000000-0005-0000-0000-000063060000}"/>
    <cellStyle name="40% - Акцент5 3 3" xfId="6221" xr:uid="{00000000-0005-0000-0000-000064060000}"/>
    <cellStyle name="40% - Акцент5 4" xfId="6222" xr:uid="{00000000-0005-0000-0000-000065060000}"/>
    <cellStyle name="40% - Акцент5 5" xfId="6223" xr:uid="{00000000-0005-0000-0000-000066060000}"/>
    <cellStyle name="40% - Акцент6 10" xfId="6224" xr:uid="{00000000-0005-0000-0000-000067060000}"/>
    <cellStyle name="40% - Акцент6 10 2" xfId="6225" xr:uid="{00000000-0005-0000-0000-000068060000}"/>
    <cellStyle name="40% - Акцент6 10 3" xfId="6226" xr:uid="{00000000-0005-0000-0000-000069060000}"/>
    <cellStyle name="40% - Акцент6 11" xfId="6227" xr:uid="{00000000-0005-0000-0000-00006A060000}"/>
    <cellStyle name="40% - Акцент6 11 2" xfId="6228" xr:uid="{00000000-0005-0000-0000-00006B060000}"/>
    <cellStyle name="40% - Акцент6 11 3" xfId="6229" xr:uid="{00000000-0005-0000-0000-00006C060000}"/>
    <cellStyle name="40% - Акцент6 12" xfId="6230" xr:uid="{00000000-0005-0000-0000-00006D060000}"/>
    <cellStyle name="40% - Акцент6 12 2" xfId="6231" xr:uid="{00000000-0005-0000-0000-00006E060000}"/>
    <cellStyle name="40% - Акцент6 12 3" xfId="6232" xr:uid="{00000000-0005-0000-0000-00006F060000}"/>
    <cellStyle name="40% - Акцент6 13" xfId="6233" xr:uid="{00000000-0005-0000-0000-000070060000}"/>
    <cellStyle name="40% - Акцент6 13 2" xfId="6234" xr:uid="{00000000-0005-0000-0000-000071060000}"/>
    <cellStyle name="40% - Акцент6 13 3" xfId="6235" xr:uid="{00000000-0005-0000-0000-000072060000}"/>
    <cellStyle name="40% - Акцент6 14" xfId="6236" xr:uid="{00000000-0005-0000-0000-000073060000}"/>
    <cellStyle name="40% - Акцент6 14 2" xfId="6237" xr:uid="{00000000-0005-0000-0000-000074060000}"/>
    <cellStyle name="40% - Акцент6 14 3" xfId="6238" xr:uid="{00000000-0005-0000-0000-000075060000}"/>
    <cellStyle name="40% - Акцент6 15" xfId="6239" xr:uid="{00000000-0005-0000-0000-000076060000}"/>
    <cellStyle name="40% - Акцент6 15 2" xfId="6240" xr:uid="{00000000-0005-0000-0000-000077060000}"/>
    <cellStyle name="40% - Акцент6 15 3" xfId="6241" xr:uid="{00000000-0005-0000-0000-000078060000}"/>
    <cellStyle name="40% - Акцент6 16" xfId="6242" xr:uid="{00000000-0005-0000-0000-000079060000}"/>
    <cellStyle name="40% - Акцент6 16 2" xfId="6243" xr:uid="{00000000-0005-0000-0000-00007A060000}"/>
    <cellStyle name="40% - Акцент6 16 3" xfId="6244" xr:uid="{00000000-0005-0000-0000-00007B060000}"/>
    <cellStyle name="40% - Акцент6 17" xfId="6245" xr:uid="{00000000-0005-0000-0000-00007C060000}"/>
    <cellStyle name="40% - Акцент6 17 2" xfId="6246" xr:uid="{00000000-0005-0000-0000-00007D060000}"/>
    <cellStyle name="40% - Акцент6 17 3" xfId="6247" xr:uid="{00000000-0005-0000-0000-00007E060000}"/>
    <cellStyle name="40% - Акцент6 18" xfId="6248" xr:uid="{00000000-0005-0000-0000-00007F060000}"/>
    <cellStyle name="40% - Акцент6 18 2" xfId="6249" xr:uid="{00000000-0005-0000-0000-000080060000}"/>
    <cellStyle name="40% - Акцент6 18 3" xfId="6250" xr:uid="{00000000-0005-0000-0000-000081060000}"/>
    <cellStyle name="40% - Акцент6 19" xfId="6251" xr:uid="{00000000-0005-0000-0000-000082060000}"/>
    <cellStyle name="40% - Акцент6 19 2" xfId="6252" xr:uid="{00000000-0005-0000-0000-000083060000}"/>
    <cellStyle name="40% - Акцент6 19 3" xfId="6253" xr:uid="{00000000-0005-0000-0000-000084060000}"/>
    <cellStyle name="40% - Акцент6 2" xfId="465" xr:uid="{00000000-0005-0000-0000-000085060000}"/>
    <cellStyle name="40% - Акцент6 2 2" xfId="466" xr:uid="{00000000-0005-0000-0000-000086060000}"/>
    <cellStyle name="40% - Акцент6 2 3" xfId="467" xr:uid="{00000000-0005-0000-0000-000087060000}"/>
    <cellStyle name="40% - Акцент6 2 4" xfId="468" xr:uid="{00000000-0005-0000-0000-000088060000}"/>
    <cellStyle name="40% - Акцент6 2 5" xfId="469" xr:uid="{00000000-0005-0000-0000-000089060000}"/>
    <cellStyle name="40% - Акцент6 2 6" xfId="470" xr:uid="{00000000-0005-0000-0000-00008A060000}"/>
    <cellStyle name="40% - Акцент6 2 7" xfId="471" xr:uid="{00000000-0005-0000-0000-00008B060000}"/>
    <cellStyle name="40% - Акцент6 2 8" xfId="472" xr:uid="{00000000-0005-0000-0000-00008C060000}"/>
    <cellStyle name="40% - Акцент6 2 9" xfId="473" xr:uid="{00000000-0005-0000-0000-00008D060000}"/>
    <cellStyle name="40% - Акцент6 20" xfId="6254" xr:uid="{00000000-0005-0000-0000-00008E060000}"/>
    <cellStyle name="40% - Акцент6 21" xfId="6255" xr:uid="{00000000-0005-0000-0000-00008F060000}"/>
    <cellStyle name="40% - Акцент6 3" xfId="474" xr:uid="{00000000-0005-0000-0000-000090060000}"/>
    <cellStyle name="40% - Акцент6 3 2" xfId="6256" xr:uid="{00000000-0005-0000-0000-000091060000}"/>
    <cellStyle name="40% - Акцент6 3 3" xfId="6257" xr:uid="{00000000-0005-0000-0000-000092060000}"/>
    <cellStyle name="40% - Акцент6 4" xfId="475" xr:uid="{00000000-0005-0000-0000-000093060000}"/>
    <cellStyle name="40% - Акцент6 4 2" xfId="476" xr:uid="{00000000-0005-0000-0000-000094060000}"/>
    <cellStyle name="40% - Акцент6 4 3" xfId="6258" xr:uid="{00000000-0005-0000-0000-000095060000}"/>
    <cellStyle name="40% - Акцент6 5" xfId="477" xr:uid="{00000000-0005-0000-0000-000096060000}"/>
    <cellStyle name="40% - Акцент6 5 2" xfId="6259" xr:uid="{00000000-0005-0000-0000-000097060000}"/>
    <cellStyle name="40% - Акцент6 5 3" xfId="6260" xr:uid="{00000000-0005-0000-0000-000098060000}"/>
    <cellStyle name="40% - Акцент6 6" xfId="6261" xr:uid="{00000000-0005-0000-0000-000099060000}"/>
    <cellStyle name="40% - Акцент6 6 2" xfId="6262" xr:uid="{00000000-0005-0000-0000-00009A060000}"/>
    <cellStyle name="40% - Акцент6 6 3" xfId="6263" xr:uid="{00000000-0005-0000-0000-00009B060000}"/>
    <cellStyle name="40% - Акцент6 7" xfId="6264" xr:uid="{00000000-0005-0000-0000-00009C060000}"/>
    <cellStyle name="40% - Акцент6 7 2" xfId="6265" xr:uid="{00000000-0005-0000-0000-00009D060000}"/>
    <cellStyle name="40% - Акцент6 7 3" xfId="6266" xr:uid="{00000000-0005-0000-0000-00009E060000}"/>
    <cellStyle name="40% - Акцент6 8" xfId="6267" xr:uid="{00000000-0005-0000-0000-00009F060000}"/>
    <cellStyle name="40% - Акцент6 8 2" xfId="6268" xr:uid="{00000000-0005-0000-0000-0000A0060000}"/>
    <cellStyle name="40% - Акцент6 8 3" xfId="6269" xr:uid="{00000000-0005-0000-0000-0000A1060000}"/>
    <cellStyle name="40% - Акцент6 9" xfId="6270" xr:uid="{00000000-0005-0000-0000-0000A2060000}"/>
    <cellStyle name="40% - Акцент6 9 2" xfId="6271" xr:uid="{00000000-0005-0000-0000-0000A3060000}"/>
    <cellStyle name="40% - Акцент6 9 3" xfId="6272" xr:uid="{00000000-0005-0000-0000-0000A4060000}"/>
    <cellStyle name="60% - Accent1" xfId="478" xr:uid="{00000000-0005-0000-0000-0000A5060000}"/>
    <cellStyle name="60% - Accent1 2" xfId="479" xr:uid="{00000000-0005-0000-0000-0000A6060000}"/>
    <cellStyle name="60% - Accent1 2 10" xfId="480" xr:uid="{00000000-0005-0000-0000-0000A7060000}"/>
    <cellStyle name="60% - Accent1 2 10 2" xfId="6273" xr:uid="{00000000-0005-0000-0000-0000A8060000}"/>
    <cellStyle name="60% - Accent1 2 11" xfId="6274" xr:uid="{00000000-0005-0000-0000-0000A9060000}"/>
    <cellStyle name="60% - Accent1 2 12" xfId="6275" xr:uid="{00000000-0005-0000-0000-0000AA060000}"/>
    <cellStyle name="60% - Accent1 2 13" xfId="6276" xr:uid="{00000000-0005-0000-0000-0000AB060000}"/>
    <cellStyle name="60% - Accent1 2 14" xfId="6277" xr:uid="{00000000-0005-0000-0000-0000AC060000}"/>
    <cellStyle name="60% - Accent1 2 15" xfId="6278" xr:uid="{00000000-0005-0000-0000-0000AD060000}"/>
    <cellStyle name="60% - Accent1 2 16" xfId="6279" xr:uid="{00000000-0005-0000-0000-0000AE060000}"/>
    <cellStyle name="60% - Accent1 2 17" xfId="6280" xr:uid="{00000000-0005-0000-0000-0000AF060000}"/>
    <cellStyle name="60% - Accent1 2 18" xfId="6281" xr:uid="{00000000-0005-0000-0000-0000B0060000}"/>
    <cellStyle name="60% - Accent1 2 19" xfId="6282" xr:uid="{00000000-0005-0000-0000-0000B1060000}"/>
    <cellStyle name="60% - Accent1 2 2" xfId="481" xr:uid="{00000000-0005-0000-0000-0000B2060000}"/>
    <cellStyle name="60% - Accent1 2 20" xfId="6283" xr:uid="{00000000-0005-0000-0000-0000B3060000}"/>
    <cellStyle name="60% - Accent1 2 21" xfId="6284" xr:uid="{00000000-0005-0000-0000-0000B4060000}"/>
    <cellStyle name="60% - Accent1 2 22" xfId="6285" xr:uid="{00000000-0005-0000-0000-0000B5060000}"/>
    <cellStyle name="60% - Accent1 2 23" xfId="6286" xr:uid="{00000000-0005-0000-0000-0000B6060000}"/>
    <cellStyle name="60% - Accent1 2 24" xfId="6287" xr:uid="{00000000-0005-0000-0000-0000B7060000}"/>
    <cellStyle name="60% - Accent1 2 25" xfId="6288" xr:uid="{00000000-0005-0000-0000-0000B8060000}"/>
    <cellStyle name="60% - Accent1 2 26" xfId="6289" xr:uid="{00000000-0005-0000-0000-0000B9060000}"/>
    <cellStyle name="60% - Accent1 2 3" xfId="482" xr:uid="{00000000-0005-0000-0000-0000BA060000}"/>
    <cellStyle name="60% - Accent1 2 3 2" xfId="483" xr:uid="{00000000-0005-0000-0000-0000BB060000}"/>
    <cellStyle name="60% - Accent1 2 3 2 2" xfId="6290" xr:uid="{00000000-0005-0000-0000-0000BC060000}"/>
    <cellStyle name="60% - Accent1 2 3 3" xfId="484" xr:uid="{00000000-0005-0000-0000-0000BD060000}"/>
    <cellStyle name="60% - Accent1 2 3 3 2" xfId="6291" xr:uid="{00000000-0005-0000-0000-0000BE060000}"/>
    <cellStyle name="60% - Accent1 2 3 4" xfId="485" xr:uid="{00000000-0005-0000-0000-0000BF060000}"/>
    <cellStyle name="60% - Accent1 2 3 4 2" xfId="6292" xr:uid="{00000000-0005-0000-0000-0000C0060000}"/>
    <cellStyle name="60% - Accent1 2 3 5" xfId="486" xr:uid="{00000000-0005-0000-0000-0000C1060000}"/>
    <cellStyle name="60% - Accent1 2 3 5 2" xfId="6293" xr:uid="{00000000-0005-0000-0000-0000C2060000}"/>
    <cellStyle name="60% - Accent1 2 3 6" xfId="487" xr:uid="{00000000-0005-0000-0000-0000C3060000}"/>
    <cellStyle name="60% - Accent1 2 3 6 2" xfId="6294" xr:uid="{00000000-0005-0000-0000-0000C4060000}"/>
    <cellStyle name="60% - Accent1 2 3 7" xfId="488" xr:uid="{00000000-0005-0000-0000-0000C5060000}"/>
    <cellStyle name="60% - Accent1 2 3 7 2" xfId="6295" xr:uid="{00000000-0005-0000-0000-0000C6060000}"/>
    <cellStyle name="60% - Accent1 2 3 8" xfId="489" xr:uid="{00000000-0005-0000-0000-0000C7060000}"/>
    <cellStyle name="60% - Accent1 2 3 8 2" xfId="6296" xr:uid="{00000000-0005-0000-0000-0000C8060000}"/>
    <cellStyle name="60% - Accent1 2 3 9" xfId="6297" xr:uid="{00000000-0005-0000-0000-0000C9060000}"/>
    <cellStyle name="60% - Accent1 2 4" xfId="490" xr:uid="{00000000-0005-0000-0000-0000CA060000}"/>
    <cellStyle name="60% - Accent1 2 4 10" xfId="6298" xr:uid="{00000000-0005-0000-0000-0000CB060000}"/>
    <cellStyle name="60% - Accent1 2 4 2" xfId="6299" xr:uid="{00000000-0005-0000-0000-0000CC060000}"/>
    <cellStyle name="60% - Accent1 2 4 3" xfId="6300" xr:uid="{00000000-0005-0000-0000-0000CD060000}"/>
    <cellStyle name="60% - Accent1 2 4 4" xfId="6301" xr:uid="{00000000-0005-0000-0000-0000CE060000}"/>
    <cellStyle name="60% - Accent1 2 4 5" xfId="6302" xr:uid="{00000000-0005-0000-0000-0000CF060000}"/>
    <cellStyle name="60% - Accent1 2 4 6" xfId="6303" xr:uid="{00000000-0005-0000-0000-0000D0060000}"/>
    <cellStyle name="60% - Accent1 2 4 7" xfId="6304" xr:uid="{00000000-0005-0000-0000-0000D1060000}"/>
    <cellStyle name="60% - Accent1 2 4 8" xfId="6305" xr:uid="{00000000-0005-0000-0000-0000D2060000}"/>
    <cellStyle name="60% - Accent1 2 4 9" xfId="6306" xr:uid="{00000000-0005-0000-0000-0000D3060000}"/>
    <cellStyle name="60% - Accent1 2 5" xfId="491" xr:uid="{00000000-0005-0000-0000-0000D4060000}"/>
    <cellStyle name="60% - Accent1 2 6" xfId="492" xr:uid="{00000000-0005-0000-0000-0000D5060000}"/>
    <cellStyle name="60% - Accent1 2 7" xfId="493" xr:uid="{00000000-0005-0000-0000-0000D6060000}"/>
    <cellStyle name="60% - Accent1 2 8" xfId="494" xr:uid="{00000000-0005-0000-0000-0000D7060000}"/>
    <cellStyle name="60% - Accent1 2 9" xfId="495" xr:uid="{00000000-0005-0000-0000-0000D8060000}"/>
    <cellStyle name="60% - Accent1 2_Blood_21months_EURO" xfId="496" xr:uid="{00000000-0005-0000-0000-0000D9060000}"/>
    <cellStyle name="60% - Accent1 3" xfId="497" xr:uid="{00000000-0005-0000-0000-0000DA060000}"/>
    <cellStyle name="60% - Accent1 3 2" xfId="498" xr:uid="{00000000-0005-0000-0000-0000DB060000}"/>
    <cellStyle name="60% - Accent1 4" xfId="499" xr:uid="{00000000-0005-0000-0000-0000DC060000}"/>
    <cellStyle name="60% - Accent1 4 2" xfId="500" xr:uid="{00000000-0005-0000-0000-0000DD060000}"/>
    <cellStyle name="60% - Accent1 5" xfId="501" xr:uid="{00000000-0005-0000-0000-0000DE060000}"/>
    <cellStyle name="60% - Accent1 6" xfId="502" xr:uid="{00000000-0005-0000-0000-0000DF060000}"/>
    <cellStyle name="60% - Accent1 6 2" xfId="503" xr:uid="{00000000-0005-0000-0000-0000E0060000}"/>
    <cellStyle name="60% - Accent1 7" xfId="504" xr:uid="{00000000-0005-0000-0000-0000E1060000}"/>
    <cellStyle name="60% - Accent1 7 2" xfId="505" xr:uid="{00000000-0005-0000-0000-0000E2060000}"/>
    <cellStyle name="60% - Accent2" xfId="506" xr:uid="{00000000-0005-0000-0000-0000E3060000}"/>
    <cellStyle name="60% - Accent2 2" xfId="507" xr:uid="{00000000-0005-0000-0000-0000E4060000}"/>
    <cellStyle name="60% - Accent2 2 10" xfId="6307" xr:uid="{00000000-0005-0000-0000-0000E5060000}"/>
    <cellStyle name="60% - Accent2 2 11" xfId="6308" xr:uid="{00000000-0005-0000-0000-0000E6060000}"/>
    <cellStyle name="60% - Accent2 2 12" xfId="6309" xr:uid="{00000000-0005-0000-0000-0000E7060000}"/>
    <cellStyle name="60% - Accent2 2 2" xfId="508" xr:uid="{00000000-0005-0000-0000-0000E8060000}"/>
    <cellStyle name="60% - Accent2 2 3" xfId="509" xr:uid="{00000000-0005-0000-0000-0000E9060000}"/>
    <cellStyle name="60% - Accent2 2 4" xfId="510" xr:uid="{00000000-0005-0000-0000-0000EA060000}"/>
    <cellStyle name="60% - Accent2 2 5" xfId="511" xr:uid="{00000000-0005-0000-0000-0000EB060000}"/>
    <cellStyle name="60% - Accent2 2 6" xfId="512" xr:uid="{00000000-0005-0000-0000-0000EC060000}"/>
    <cellStyle name="60% - Accent2 2 7" xfId="513" xr:uid="{00000000-0005-0000-0000-0000ED060000}"/>
    <cellStyle name="60% - Accent2 2 8" xfId="514" xr:uid="{00000000-0005-0000-0000-0000EE060000}"/>
    <cellStyle name="60% - Accent2 2 9" xfId="515" xr:uid="{00000000-0005-0000-0000-0000EF060000}"/>
    <cellStyle name="60% - Accent2 3" xfId="516" xr:uid="{00000000-0005-0000-0000-0000F0060000}"/>
    <cellStyle name="60% - Accent2 3 2" xfId="517" xr:uid="{00000000-0005-0000-0000-0000F1060000}"/>
    <cellStyle name="60% - Accent2 4" xfId="518" xr:uid="{00000000-0005-0000-0000-0000F2060000}"/>
    <cellStyle name="60% - Accent2 4 2" xfId="519" xr:uid="{00000000-0005-0000-0000-0000F3060000}"/>
    <cellStyle name="60% - Accent2 5" xfId="520" xr:uid="{00000000-0005-0000-0000-0000F4060000}"/>
    <cellStyle name="60% - Accent2 6" xfId="521" xr:uid="{00000000-0005-0000-0000-0000F5060000}"/>
    <cellStyle name="60% - Accent2 6 2" xfId="522" xr:uid="{00000000-0005-0000-0000-0000F6060000}"/>
    <cellStyle name="60% - Accent2 7" xfId="523" xr:uid="{00000000-0005-0000-0000-0000F7060000}"/>
    <cellStyle name="60% - Accent2 7 2" xfId="524" xr:uid="{00000000-0005-0000-0000-0000F8060000}"/>
    <cellStyle name="60% - Accent3" xfId="525" xr:uid="{00000000-0005-0000-0000-0000F9060000}"/>
    <cellStyle name="60% - Accent3 2" xfId="526" xr:uid="{00000000-0005-0000-0000-0000FA060000}"/>
    <cellStyle name="60% - Accent3 2 10" xfId="527" xr:uid="{00000000-0005-0000-0000-0000FB060000}"/>
    <cellStyle name="60% - Accent3 2 10 2" xfId="6310" xr:uid="{00000000-0005-0000-0000-0000FC060000}"/>
    <cellStyle name="60% - Accent3 2 11" xfId="6311" xr:uid="{00000000-0005-0000-0000-0000FD060000}"/>
    <cellStyle name="60% - Accent3 2 12" xfId="6312" xr:uid="{00000000-0005-0000-0000-0000FE060000}"/>
    <cellStyle name="60% - Accent3 2 13" xfId="6313" xr:uid="{00000000-0005-0000-0000-0000FF060000}"/>
    <cellStyle name="60% - Accent3 2 14" xfId="6314" xr:uid="{00000000-0005-0000-0000-000000070000}"/>
    <cellStyle name="60% - Accent3 2 15" xfId="6315" xr:uid="{00000000-0005-0000-0000-000001070000}"/>
    <cellStyle name="60% - Accent3 2 16" xfId="6316" xr:uid="{00000000-0005-0000-0000-000002070000}"/>
    <cellStyle name="60% - Accent3 2 17" xfId="6317" xr:uid="{00000000-0005-0000-0000-000003070000}"/>
    <cellStyle name="60% - Accent3 2 18" xfId="6318" xr:uid="{00000000-0005-0000-0000-000004070000}"/>
    <cellStyle name="60% - Accent3 2 19" xfId="6319" xr:uid="{00000000-0005-0000-0000-000005070000}"/>
    <cellStyle name="60% - Accent3 2 2" xfId="528" xr:uid="{00000000-0005-0000-0000-000006070000}"/>
    <cellStyle name="60% - Accent3 2 20" xfId="6320" xr:uid="{00000000-0005-0000-0000-000007070000}"/>
    <cellStyle name="60% - Accent3 2 21" xfId="6321" xr:uid="{00000000-0005-0000-0000-000008070000}"/>
    <cellStyle name="60% - Accent3 2 22" xfId="6322" xr:uid="{00000000-0005-0000-0000-000009070000}"/>
    <cellStyle name="60% - Accent3 2 23" xfId="6323" xr:uid="{00000000-0005-0000-0000-00000A070000}"/>
    <cellStyle name="60% - Accent3 2 24" xfId="6324" xr:uid="{00000000-0005-0000-0000-00000B070000}"/>
    <cellStyle name="60% - Accent3 2 25" xfId="6325" xr:uid="{00000000-0005-0000-0000-00000C070000}"/>
    <cellStyle name="60% - Accent3 2 26" xfId="6326" xr:uid="{00000000-0005-0000-0000-00000D070000}"/>
    <cellStyle name="60% - Accent3 2 3" xfId="529" xr:uid="{00000000-0005-0000-0000-00000E070000}"/>
    <cellStyle name="60% - Accent3 2 3 2" xfId="530" xr:uid="{00000000-0005-0000-0000-00000F070000}"/>
    <cellStyle name="60% - Accent3 2 3 2 2" xfId="6327" xr:uid="{00000000-0005-0000-0000-000010070000}"/>
    <cellStyle name="60% - Accent3 2 3 3" xfId="531" xr:uid="{00000000-0005-0000-0000-000011070000}"/>
    <cellStyle name="60% - Accent3 2 3 3 2" xfId="6328" xr:uid="{00000000-0005-0000-0000-000012070000}"/>
    <cellStyle name="60% - Accent3 2 3 4" xfId="532" xr:uid="{00000000-0005-0000-0000-000013070000}"/>
    <cellStyle name="60% - Accent3 2 3 4 2" xfId="6329" xr:uid="{00000000-0005-0000-0000-000014070000}"/>
    <cellStyle name="60% - Accent3 2 3 5" xfId="533" xr:uid="{00000000-0005-0000-0000-000015070000}"/>
    <cellStyle name="60% - Accent3 2 3 5 2" xfId="6330" xr:uid="{00000000-0005-0000-0000-000016070000}"/>
    <cellStyle name="60% - Accent3 2 3 6" xfId="534" xr:uid="{00000000-0005-0000-0000-000017070000}"/>
    <cellStyle name="60% - Accent3 2 3 6 2" xfId="6331" xr:uid="{00000000-0005-0000-0000-000018070000}"/>
    <cellStyle name="60% - Accent3 2 3 7" xfId="535" xr:uid="{00000000-0005-0000-0000-000019070000}"/>
    <cellStyle name="60% - Accent3 2 3 7 2" xfId="6332" xr:uid="{00000000-0005-0000-0000-00001A070000}"/>
    <cellStyle name="60% - Accent3 2 3 8" xfId="536" xr:uid="{00000000-0005-0000-0000-00001B070000}"/>
    <cellStyle name="60% - Accent3 2 3 8 2" xfId="6333" xr:uid="{00000000-0005-0000-0000-00001C070000}"/>
    <cellStyle name="60% - Accent3 2 3 9" xfId="6334" xr:uid="{00000000-0005-0000-0000-00001D070000}"/>
    <cellStyle name="60% - Accent3 2 4" xfId="537" xr:uid="{00000000-0005-0000-0000-00001E070000}"/>
    <cellStyle name="60% - Accent3 2 4 10" xfId="6335" xr:uid="{00000000-0005-0000-0000-00001F070000}"/>
    <cellStyle name="60% - Accent3 2 4 2" xfId="6336" xr:uid="{00000000-0005-0000-0000-000020070000}"/>
    <cellStyle name="60% - Accent3 2 4 3" xfId="6337" xr:uid="{00000000-0005-0000-0000-000021070000}"/>
    <cellStyle name="60% - Accent3 2 4 4" xfId="6338" xr:uid="{00000000-0005-0000-0000-000022070000}"/>
    <cellStyle name="60% - Accent3 2 4 5" xfId="6339" xr:uid="{00000000-0005-0000-0000-000023070000}"/>
    <cellStyle name="60% - Accent3 2 4 6" xfId="6340" xr:uid="{00000000-0005-0000-0000-000024070000}"/>
    <cellStyle name="60% - Accent3 2 4 7" xfId="6341" xr:uid="{00000000-0005-0000-0000-000025070000}"/>
    <cellStyle name="60% - Accent3 2 4 8" xfId="6342" xr:uid="{00000000-0005-0000-0000-000026070000}"/>
    <cellStyle name="60% - Accent3 2 4 9" xfId="6343" xr:uid="{00000000-0005-0000-0000-000027070000}"/>
    <cellStyle name="60% - Accent3 2 5" xfId="538" xr:uid="{00000000-0005-0000-0000-000028070000}"/>
    <cellStyle name="60% - Accent3 2 6" xfId="539" xr:uid="{00000000-0005-0000-0000-000029070000}"/>
    <cellStyle name="60% - Accent3 2 7" xfId="540" xr:uid="{00000000-0005-0000-0000-00002A070000}"/>
    <cellStyle name="60% - Accent3 2 8" xfId="541" xr:uid="{00000000-0005-0000-0000-00002B070000}"/>
    <cellStyle name="60% - Accent3 2 9" xfId="542" xr:uid="{00000000-0005-0000-0000-00002C070000}"/>
    <cellStyle name="60% - Accent3 2_Blood_21months_EURO" xfId="543" xr:uid="{00000000-0005-0000-0000-00002D070000}"/>
    <cellStyle name="60% - Accent3 3" xfId="544" xr:uid="{00000000-0005-0000-0000-00002E070000}"/>
    <cellStyle name="60% - Accent3 3 2" xfId="545" xr:uid="{00000000-0005-0000-0000-00002F070000}"/>
    <cellStyle name="60% - Accent3 4" xfId="546" xr:uid="{00000000-0005-0000-0000-000030070000}"/>
    <cellStyle name="60% - Accent3 4 2" xfId="547" xr:uid="{00000000-0005-0000-0000-000031070000}"/>
    <cellStyle name="60% - Accent3 5" xfId="548" xr:uid="{00000000-0005-0000-0000-000032070000}"/>
    <cellStyle name="60% - Accent3 6" xfId="549" xr:uid="{00000000-0005-0000-0000-000033070000}"/>
    <cellStyle name="60% - Accent3 6 2" xfId="550" xr:uid="{00000000-0005-0000-0000-000034070000}"/>
    <cellStyle name="60% - Accent3 7" xfId="551" xr:uid="{00000000-0005-0000-0000-000035070000}"/>
    <cellStyle name="60% - Accent3 7 2" xfId="552" xr:uid="{00000000-0005-0000-0000-000036070000}"/>
    <cellStyle name="60% - Accent4" xfId="553" xr:uid="{00000000-0005-0000-0000-000037070000}"/>
    <cellStyle name="60% - Accent4 2" xfId="554" xr:uid="{00000000-0005-0000-0000-000038070000}"/>
    <cellStyle name="60% - Accent4 2 10" xfId="555" xr:uid="{00000000-0005-0000-0000-000039070000}"/>
    <cellStyle name="60% - Accent4 2 10 2" xfId="6344" xr:uid="{00000000-0005-0000-0000-00003A070000}"/>
    <cellStyle name="60% - Accent4 2 11" xfId="6345" xr:uid="{00000000-0005-0000-0000-00003B070000}"/>
    <cellStyle name="60% - Accent4 2 12" xfId="6346" xr:uid="{00000000-0005-0000-0000-00003C070000}"/>
    <cellStyle name="60% - Accent4 2 13" xfId="6347" xr:uid="{00000000-0005-0000-0000-00003D070000}"/>
    <cellStyle name="60% - Accent4 2 14" xfId="6348" xr:uid="{00000000-0005-0000-0000-00003E070000}"/>
    <cellStyle name="60% - Accent4 2 15" xfId="6349" xr:uid="{00000000-0005-0000-0000-00003F070000}"/>
    <cellStyle name="60% - Accent4 2 16" xfId="6350" xr:uid="{00000000-0005-0000-0000-000040070000}"/>
    <cellStyle name="60% - Accent4 2 17" xfId="6351" xr:uid="{00000000-0005-0000-0000-000041070000}"/>
    <cellStyle name="60% - Accent4 2 18" xfId="6352" xr:uid="{00000000-0005-0000-0000-000042070000}"/>
    <cellStyle name="60% - Accent4 2 19" xfId="6353" xr:uid="{00000000-0005-0000-0000-000043070000}"/>
    <cellStyle name="60% - Accent4 2 2" xfId="556" xr:uid="{00000000-0005-0000-0000-000044070000}"/>
    <cellStyle name="60% - Accent4 2 20" xfId="6354" xr:uid="{00000000-0005-0000-0000-000045070000}"/>
    <cellStyle name="60% - Accent4 2 21" xfId="6355" xr:uid="{00000000-0005-0000-0000-000046070000}"/>
    <cellStyle name="60% - Accent4 2 22" xfId="6356" xr:uid="{00000000-0005-0000-0000-000047070000}"/>
    <cellStyle name="60% - Accent4 2 23" xfId="6357" xr:uid="{00000000-0005-0000-0000-000048070000}"/>
    <cellStyle name="60% - Accent4 2 24" xfId="6358" xr:uid="{00000000-0005-0000-0000-000049070000}"/>
    <cellStyle name="60% - Accent4 2 25" xfId="6359" xr:uid="{00000000-0005-0000-0000-00004A070000}"/>
    <cellStyle name="60% - Accent4 2 26" xfId="6360" xr:uid="{00000000-0005-0000-0000-00004B070000}"/>
    <cellStyle name="60% - Accent4 2 3" xfId="557" xr:uid="{00000000-0005-0000-0000-00004C070000}"/>
    <cellStyle name="60% - Accent4 2 3 2" xfId="558" xr:uid="{00000000-0005-0000-0000-00004D070000}"/>
    <cellStyle name="60% - Accent4 2 3 2 2" xfId="6361" xr:uid="{00000000-0005-0000-0000-00004E070000}"/>
    <cellStyle name="60% - Accent4 2 3 3" xfId="559" xr:uid="{00000000-0005-0000-0000-00004F070000}"/>
    <cellStyle name="60% - Accent4 2 3 3 2" xfId="6362" xr:uid="{00000000-0005-0000-0000-000050070000}"/>
    <cellStyle name="60% - Accent4 2 3 4" xfId="560" xr:uid="{00000000-0005-0000-0000-000051070000}"/>
    <cellStyle name="60% - Accent4 2 3 4 2" xfId="6363" xr:uid="{00000000-0005-0000-0000-000052070000}"/>
    <cellStyle name="60% - Accent4 2 3 5" xfId="561" xr:uid="{00000000-0005-0000-0000-000053070000}"/>
    <cellStyle name="60% - Accent4 2 3 5 2" xfId="6364" xr:uid="{00000000-0005-0000-0000-000054070000}"/>
    <cellStyle name="60% - Accent4 2 3 6" xfId="562" xr:uid="{00000000-0005-0000-0000-000055070000}"/>
    <cellStyle name="60% - Accent4 2 3 6 2" xfId="6365" xr:uid="{00000000-0005-0000-0000-000056070000}"/>
    <cellStyle name="60% - Accent4 2 3 7" xfId="563" xr:uid="{00000000-0005-0000-0000-000057070000}"/>
    <cellStyle name="60% - Accent4 2 3 7 2" xfId="6366" xr:uid="{00000000-0005-0000-0000-000058070000}"/>
    <cellStyle name="60% - Accent4 2 3 8" xfId="564" xr:uid="{00000000-0005-0000-0000-000059070000}"/>
    <cellStyle name="60% - Accent4 2 3 8 2" xfId="6367" xr:uid="{00000000-0005-0000-0000-00005A070000}"/>
    <cellStyle name="60% - Accent4 2 3 9" xfId="6368" xr:uid="{00000000-0005-0000-0000-00005B070000}"/>
    <cellStyle name="60% - Accent4 2 4" xfId="565" xr:uid="{00000000-0005-0000-0000-00005C070000}"/>
    <cellStyle name="60% - Accent4 2 4 10" xfId="6369" xr:uid="{00000000-0005-0000-0000-00005D070000}"/>
    <cellStyle name="60% - Accent4 2 4 2" xfId="6370" xr:uid="{00000000-0005-0000-0000-00005E070000}"/>
    <cellStyle name="60% - Accent4 2 4 3" xfId="6371" xr:uid="{00000000-0005-0000-0000-00005F070000}"/>
    <cellStyle name="60% - Accent4 2 4 4" xfId="6372" xr:uid="{00000000-0005-0000-0000-000060070000}"/>
    <cellStyle name="60% - Accent4 2 4 5" xfId="6373" xr:uid="{00000000-0005-0000-0000-000061070000}"/>
    <cellStyle name="60% - Accent4 2 4 6" xfId="6374" xr:uid="{00000000-0005-0000-0000-000062070000}"/>
    <cellStyle name="60% - Accent4 2 4 7" xfId="6375" xr:uid="{00000000-0005-0000-0000-000063070000}"/>
    <cellStyle name="60% - Accent4 2 4 8" xfId="6376" xr:uid="{00000000-0005-0000-0000-000064070000}"/>
    <cellStyle name="60% - Accent4 2 4 9" xfId="6377" xr:uid="{00000000-0005-0000-0000-000065070000}"/>
    <cellStyle name="60% - Accent4 2 5" xfId="566" xr:uid="{00000000-0005-0000-0000-000066070000}"/>
    <cellStyle name="60% - Accent4 2 6" xfId="567" xr:uid="{00000000-0005-0000-0000-000067070000}"/>
    <cellStyle name="60% - Accent4 2 7" xfId="568" xr:uid="{00000000-0005-0000-0000-000068070000}"/>
    <cellStyle name="60% - Accent4 2 8" xfId="569" xr:uid="{00000000-0005-0000-0000-000069070000}"/>
    <cellStyle name="60% - Accent4 2 9" xfId="570" xr:uid="{00000000-0005-0000-0000-00006A070000}"/>
    <cellStyle name="60% - Accent4 2_Blood_21months_EURO" xfId="571" xr:uid="{00000000-0005-0000-0000-00006B070000}"/>
    <cellStyle name="60% - Accent4 3" xfId="572" xr:uid="{00000000-0005-0000-0000-00006C070000}"/>
    <cellStyle name="60% - Accent4 3 2" xfId="573" xr:uid="{00000000-0005-0000-0000-00006D070000}"/>
    <cellStyle name="60% - Accent4 4" xfId="574" xr:uid="{00000000-0005-0000-0000-00006E070000}"/>
    <cellStyle name="60% - Accent4 4 2" xfId="575" xr:uid="{00000000-0005-0000-0000-00006F070000}"/>
    <cellStyle name="60% - Accent4 5" xfId="576" xr:uid="{00000000-0005-0000-0000-000070070000}"/>
    <cellStyle name="60% - Accent4 6" xfId="577" xr:uid="{00000000-0005-0000-0000-000071070000}"/>
    <cellStyle name="60% - Accent4 6 2" xfId="578" xr:uid="{00000000-0005-0000-0000-000072070000}"/>
    <cellStyle name="60% - Accent4 7" xfId="579" xr:uid="{00000000-0005-0000-0000-000073070000}"/>
    <cellStyle name="60% - Accent4 7 2" xfId="580" xr:uid="{00000000-0005-0000-0000-000074070000}"/>
    <cellStyle name="60% - Accent5" xfId="581" xr:uid="{00000000-0005-0000-0000-000075070000}"/>
    <cellStyle name="60% - Accent5 2" xfId="582" xr:uid="{00000000-0005-0000-0000-000076070000}"/>
    <cellStyle name="60% - Accent5 2 10" xfId="6378" xr:uid="{00000000-0005-0000-0000-000077070000}"/>
    <cellStyle name="60% - Accent5 2 11" xfId="6379" xr:uid="{00000000-0005-0000-0000-000078070000}"/>
    <cellStyle name="60% - Accent5 2 12" xfId="6380" xr:uid="{00000000-0005-0000-0000-000079070000}"/>
    <cellStyle name="60% - Accent5 2 2" xfId="583" xr:uid="{00000000-0005-0000-0000-00007A070000}"/>
    <cellStyle name="60% - Accent5 2 3" xfId="584" xr:uid="{00000000-0005-0000-0000-00007B070000}"/>
    <cellStyle name="60% - Accent5 2 4" xfId="585" xr:uid="{00000000-0005-0000-0000-00007C070000}"/>
    <cellStyle name="60% - Accent5 2 5" xfId="586" xr:uid="{00000000-0005-0000-0000-00007D070000}"/>
    <cellStyle name="60% - Accent5 2 6" xfId="587" xr:uid="{00000000-0005-0000-0000-00007E070000}"/>
    <cellStyle name="60% - Accent5 2 7" xfId="588" xr:uid="{00000000-0005-0000-0000-00007F070000}"/>
    <cellStyle name="60% - Accent5 2 8" xfId="589" xr:uid="{00000000-0005-0000-0000-000080070000}"/>
    <cellStyle name="60% - Accent5 2 9" xfId="590" xr:uid="{00000000-0005-0000-0000-000081070000}"/>
    <cellStyle name="60% - Accent5 3" xfId="591" xr:uid="{00000000-0005-0000-0000-000082070000}"/>
    <cellStyle name="60% - Accent5 3 2" xfId="592" xr:uid="{00000000-0005-0000-0000-000083070000}"/>
    <cellStyle name="60% - Accent5 4" xfId="593" xr:uid="{00000000-0005-0000-0000-000084070000}"/>
    <cellStyle name="60% - Accent5 4 2" xfId="594" xr:uid="{00000000-0005-0000-0000-000085070000}"/>
    <cellStyle name="60% - Accent5 5" xfId="595" xr:uid="{00000000-0005-0000-0000-000086070000}"/>
    <cellStyle name="60% - Accent5 6" xfId="596" xr:uid="{00000000-0005-0000-0000-000087070000}"/>
    <cellStyle name="60% - Accent5 6 2" xfId="597" xr:uid="{00000000-0005-0000-0000-000088070000}"/>
    <cellStyle name="60% - Accent5 7" xfId="598" xr:uid="{00000000-0005-0000-0000-000089070000}"/>
    <cellStyle name="60% - Accent5 7 2" xfId="599" xr:uid="{00000000-0005-0000-0000-00008A070000}"/>
    <cellStyle name="60% - Accent6" xfId="600" xr:uid="{00000000-0005-0000-0000-00008B070000}"/>
    <cellStyle name="60% - Accent6 2" xfId="601" xr:uid="{00000000-0005-0000-0000-00008C070000}"/>
    <cellStyle name="60% - Accent6 2 10" xfId="602" xr:uid="{00000000-0005-0000-0000-00008D070000}"/>
    <cellStyle name="60% - Accent6 2 10 2" xfId="6381" xr:uid="{00000000-0005-0000-0000-00008E070000}"/>
    <cellStyle name="60% - Accent6 2 11" xfId="6382" xr:uid="{00000000-0005-0000-0000-00008F070000}"/>
    <cellStyle name="60% - Accent6 2 12" xfId="6383" xr:uid="{00000000-0005-0000-0000-000090070000}"/>
    <cellStyle name="60% - Accent6 2 13" xfId="6384" xr:uid="{00000000-0005-0000-0000-000091070000}"/>
    <cellStyle name="60% - Accent6 2 14" xfId="6385" xr:uid="{00000000-0005-0000-0000-000092070000}"/>
    <cellStyle name="60% - Accent6 2 15" xfId="6386" xr:uid="{00000000-0005-0000-0000-000093070000}"/>
    <cellStyle name="60% - Accent6 2 16" xfId="6387" xr:uid="{00000000-0005-0000-0000-000094070000}"/>
    <cellStyle name="60% - Accent6 2 17" xfId="6388" xr:uid="{00000000-0005-0000-0000-000095070000}"/>
    <cellStyle name="60% - Accent6 2 18" xfId="6389" xr:uid="{00000000-0005-0000-0000-000096070000}"/>
    <cellStyle name="60% - Accent6 2 19" xfId="6390" xr:uid="{00000000-0005-0000-0000-000097070000}"/>
    <cellStyle name="60% - Accent6 2 2" xfId="603" xr:uid="{00000000-0005-0000-0000-000098070000}"/>
    <cellStyle name="60% - Accent6 2 20" xfId="6391" xr:uid="{00000000-0005-0000-0000-000099070000}"/>
    <cellStyle name="60% - Accent6 2 21" xfId="6392" xr:uid="{00000000-0005-0000-0000-00009A070000}"/>
    <cellStyle name="60% - Accent6 2 22" xfId="6393" xr:uid="{00000000-0005-0000-0000-00009B070000}"/>
    <cellStyle name="60% - Accent6 2 23" xfId="6394" xr:uid="{00000000-0005-0000-0000-00009C070000}"/>
    <cellStyle name="60% - Accent6 2 24" xfId="6395" xr:uid="{00000000-0005-0000-0000-00009D070000}"/>
    <cellStyle name="60% - Accent6 2 25" xfId="6396" xr:uid="{00000000-0005-0000-0000-00009E070000}"/>
    <cellStyle name="60% - Accent6 2 26" xfId="6397" xr:uid="{00000000-0005-0000-0000-00009F070000}"/>
    <cellStyle name="60% - Accent6 2 3" xfId="604" xr:uid="{00000000-0005-0000-0000-0000A0070000}"/>
    <cellStyle name="60% - Accent6 2 3 2" xfId="605" xr:uid="{00000000-0005-0000-0000-0000A1070000}"/>
    <cellStyle name="60% - Accent6 2 3 2 2" xfId="6398" xr:uid="{00000000-0005-0000-0000-0000A2070000}"/>
    <cellStyle name="60% - Accent6 2 3 3" xfId="606" xr:uid="{00000000-0005-0000-0000-0000A3070000}"/>
    <cellStyle name="60% - Accent6 2 3 3 2" xfId="6399" xr:uid="{00000000-0005-0000-0000-0000A4070000}"/>
    <cellStyle name="60% - Accent6 2 3 4" xfId="607" xr:uid="{00000000-0005-0000-0000-0000A5070000}"/>
    <cellStyle name="60% - Accent6 2 3 4 2" xfId="6400" xr:uid="{00000000-0005-0000-0000-0000A6070000}"/>
    <cellStyle name="60% - Accent6 2 3 5" xfId="608" xr:uid="{00000000-0005-0000-0000-0000A7070000}"/>
    <cellStyle name="60% - Accent6 2 3 5 2" xfId="6401" xr:uid="{00000000-0005-0000-0000-0000A8070000}"/>
    <cellStyle name="60% - Accent6 2 3 6" xfId="609" xr:uid="{00000000-0005-0000-0000-0000A9070000}"/>
    <cellStyle name="60% - Accent6 2 3 6 2" xfId="6402" xr:uid="{00000000-0005-0000-0000-0000AA070000}"/>
    <cellStyle name="60% - Accent6 2 3 7" xfId="610" xr:uid="{00000000-0005-0000-0000-0000AB070000}"/>
    <cellStyle name="60% - Accent6 2 3 7 2" xfId="6403" xr:uid="{00000000-0005-0000-0000-0000AC070000}"/>
    <cellStyle name="60% - Accent6 2 3 8" xfId="611" xr:uid="{00000000-0005-0000-0000-0000AD070000}"/>
    <cellStyle name="60% - Accent6 2 3 8 2" xfId="6404" xr:uid="{00000000-0005-0000-0000-0000AE070000}"/>
    <cellStyle name="60% - Accent6 2 3 9" xfId="6405" xr:uid="{00000000-0005-0000-0000-0000AF070000}"/>
    <cellStyle name="60% - Accent6 2 4" xfId="612" xr:uid="{00000000-0005-0000-0000-0000B0070000}"/>
    <cellStyle name="60% - Accent6 2 4 10" xfId="6406" xr:uid="{00000000-0005-0000-0000-0000B1070000}"/>
    <cellStyle name="60% - Accent6 2 4 2" xfId="6407" xr:uid="{00000000-0005-0000-0000-0000B2070000}"/>
    <cellStyle name="60% - Accent6 2 4 3" xfId="6408" xr:uid="{00000000-0005-0000-0000-0000B3070000}"/>
    <cellStyle name="60% - Accent6 2 4 4" xfId="6409" xr:uid="{00000000-0005-0000-0000-0000B4070000}"/>
    <cellStyle name="60% - Accent6 2 4 5" xfId="6410" xr:uid="{00000000-0005-0000-0000-0000B5070000}"/>
    <cellStyle name="60% - Accent6 2 4 6" xfId="6411" xr:uid="{00000000-0005-0000-0000-0000B6070000}"/>
    <cellStyle name="60% - Accent6 2 4 7" xfId="6412" xr:uid="{00000000-0005-0000-0000-0000B7070000}"/>
    <cellStyle name="60% - Accent6 2 4 8" xfId="6413" xr:uid="{00000000-0005-0000-0000-0000B8070000}"/>
    <cellStyle name="60% - Accent6 2 4 9" xfId="6414" xr:uid="{00000000-0005-0000-0000-0000B9070000}"/>
    <cellStyle name="60% - Accent6 2 5" xfId="613" xr:uid="{00000000-0005-0000-0000-0000BA070000}"/>
    <cellStyle name="60% - Accent6 2 6" xfId="614" xr:uid="{00000000-0005-0000-0000-0000BB070000}"/>
    <cellStyle name="60% - Accent6 2 7" xfId="615" xr:uid="{00000000-0005-0000-0000-0000BC070000}"/>
    <cellStyle name="60% - Accent6 2 8" xfId="616" xr:uid="{00000000-0005-0000-0000-0000BD070000}"/>
    <cellStyle name="60% - Accent6 2 9" xfId="617" xr:uid="{00000000-0005-0000-0000-0000BE070000}"/>
    <cellStyle name="60% - Accent6 2_Blood_21months_EURO" xfId="618" xr:uid="{00000000-0005-0000-0000-0000BF070000}"/>
    <cellStyle name="60% - Accent6 3" xfId="619" xr:uid="{00000000-0005-0000-0000-0000C0070000}"/>
    <cellStyle name="60% - Accent6 3 2" xfId="620" xr:uid="{00000000-0005-0000-0000-0000C1070000}"/>
    <cellStyle name="60% - Accent6 4" xfId="621" xr:uid="{00000000-0005-0000-0000-0000C2070000}"/>
    <cellStyle name="60% - Accent6 4 2" xfId="622" xr:uid="{00000000-0005-0000-0000-0000C3070000}"/>
    <cellStyle name="60% - Accent6 5" xfId="623" xr:uid="{00000000-0005-0000-0000-0000C4070000}"/>
    <cellStyle name="60% - Accent6 6" xfId="624" xr:uid="{00000000-0005-0000-0000-0000C5070000}"/>
    <cellStyle name="60% - Accent6 6 2" xfId="625" xr:uid="{00000000-0005-0000-0000-0000C6070000}"/>
    <cellStyle name="60% - Accent6 7" xfId="626" xr:uid="{00000000-0005-0000-0000-0000C7070000}"/>
    <cellStyle name="60% - Accent6 7 2" xfId="627" xr:uid="{00000000-0005-0000-0000-0000C8070000}"/>
    <cellStyle name="60% - Акцент1 10" xfId="6415" xr:uid="{00000000-0005-0000-0000-0000C9070000}"/>
    <cellStyle name="60% - Акцент1 11" xfId="6416" xr:uid="{00000000-0005-0000-0000-0000CA070000}"/>
    <cellStyle name="60% - Акцент1 12" xfId="6417" xr:uid="{00000000-0005-0000-0000-0000CB070000}"/>
    <cellStyle name="60% - Акцент1 13" xfId="6418" xr:uid="{00000000-0005-0000-0000-0000CC070000}"/>
    <cellStyle name="60% - Акцент1 14" xfId="6419" xr:uid="{00000000-0005-0000-0000-0000CD070000}"/>
    <cellStyle name="60% - Акцент1 15" xfId="6420" xr:uid="{00000000-0005-0000-0000-0000CE070000}"/>
    <cellStyle name="60% - Акцент1 16" xfId="6421" xr:uid="{00000000-0005-0000-0000-0000CF070000}"/>
    <cellStyle name="60% - Акцент1 17" xfId="6422" xr:uid="{00000000-0005-0000-0000-0000D0070000}"/>
    <cellStyle name="60% - Акцент1 18" xfId="6423" xr:uid="{00000000-0005-0000-0000-0000D1070000}"/>
    <cellStyle name="60% - Акцент1 19" xfId="6424" xr:uid="{00000000-0005-0000-0000-0000D2070000}"/>
    <cellStyle name="60% - Акцент1 2" xfId="628" xr:uid="{00000000-0005-0000-0000-0000D3070000}"/>
    <cellStyle name="60% - Акцент1 2 2" xfId="629" xr:uid="{00000000-0005-0000-0000-0000D4070000}"/>
    <cellStyle name="60% - Акцент1 2 3" xfId="630" xr:uid="{00000000-0005-0000-0000-0000D5070000}"/>
    <cellStyle name="60% - Акцент1 2 4" xfId="631" xr:uid="{00000000-0005-0000-0000-0000D6070000}"/>
    <cellStyle name="60% - Акцент1 2 5" xfId="632" xr:uid="{00000000-0005-0000-0000-0000D7070000}"/>
    <cellStyle name="60% - Акцент1 2 6" xfId="633" xr:uid="{00000000-0005-0000-0000-0000D8070000}"/>
    <cellStyle name="60% - Акцент1 2 7" xfId="634" xr:uid="{00000000-0005-0000-0000-0000D9070000}"/>
    <cellStyle name="60% - Акцент1 2 8" xfId="635" xr:uid="{00000000-0005-0000-0000-0000DA070000}"/>
    <cellStyle name="60% - Акцент1 2 9" xfId="636" xr:uid="{00000000-0005-0000-0000-0000DB070000}"/>
    <cellStyle name="60% - Акцент1 3" xfId="637" xr:uid="{00000000-0005-0000-0000-0000DC070000}"/>
    <cellStyle name="60% - Акцент1 4" xfId="638" xr:uid="{00000000-0005-0000-0000-0000DD070000}"/>
    <cellStyle name="60% - Акцент1 4 2" xfId="639" xr:uid="{00000000-0005-0000-0000-0000DE070000}"/>
    <cellStyle name="60% - Акцент1 5" xfId="640" xr:uid="{00000000-0005-0000-0000-0000DF070000}"/>
    <cellStyle name="60% - Акцент1 6" xfId="6425" xr:uid="{00000000-0005-0000-0000-0000E0070000}"/>
    <cellStyle name="60% - Акцент1 7" xfId="6426" xr:uid="{00000000-0005-0000-0000-0000E1070000}"/>
    <cellStyle name="60% - Акцент1 8" xfId="6427" xr:uid="{00000000-0005-0000-0000-0000E2070000}"/>
    <cellStyle name="60% - Акцент1 9" xfId="6428" xr:uid="{00000000-0005-0000-0000-0000E3070000}"/>
    <cellStyle name="60% - Акцент2 2" xfId="641" xr:uid="{00000000-0005-0000-0000-0000E4070000}"/>
    <cellStyle name="60% - Акцент2 2 2" xfId="642" xr:uid="{00000000-0005-0000-0000-0000E5070000}"/>
    <cellStyle name="60% - Акцент2 2 3" xfId="643" xr:uid="{00000000-0005-0000-0000-0000E6070000}"/>
    <cellStyle name="60% - Акцент2 2 4" xfId="644" xr:uid="{00000000-0005-0000-0000-0000E7070000}"/>
    <cellStyle name="60% - Акцент2 2 5" xfId="645" xr:uid="{00000000-0005-0000-0000-0000E8070000}"/>
    <cellStyle name="60% - Акцент2 2 6" xfId="646" xr:uid="{00000000-0005-0000-0000-0000E9070000}"/>
    <cellStyle name="60% - Акцент2 2 7" xfId="647" xr:uid="{00000000-0005-0000-0000-0000EA070000}"/>
    <cellStyle name="60% - Акцент2 2 8" xfId="648" xr:uid="{00000000-0005-0000-0000-0000EB070000}"/>
    <cellStyle name="60% - Акцент2 2 9" xfId="649" xr:uid="{00000000-0005-0000-0000-0000EC070000}"/>
    <cellStyle name="60% - Акцент2 3" xfId="650" xr:uid="{00000000-0005-0000-0000-0000ED070000}"/>
    <cellStyle name="60% - Акцент3 10" xfId="6429" xr:uid="{00000000-0005-0000-0000-0000EE070000}"/>
    <cellStyle name="60% - Акцент3 11" xfId="6430" xr:uid="{00000000-0005-0000-0000-0000EF070000}"/>
    <cellStyle name="60% - Акцент3 12" xfId="6431" xr:uid="{00000000-0005-0000-0000-0000F0070000}"/>
    <cellStyle name="60% - Акцент3 13" xfId="6432" xr:uid="{00000000-0005-0000-0000-0000F1070000}"/>
    <cellStyle name="60% - Акцент3 14" xfId="6433" xr:uid="{00000000-0005-0000-0000-0000F2070000}"/>
    <cellStyle name="60% - Акцент3 15" xfId="6434" xr:uid="{00000000-0005-0000-0000-0000F3070000}"/>
    <cellStyle name="60% - Акцент3 16" xfId="6435" xr:uid="{00000000-0005-0000-0000-0000F4070000}"/>
    <cellStyle name="60% - Акцент3 17" xfId="6436" xr:uid="{00000000-0005-0000-0000-0000F5070000}"/>
    <cellStyle name="60% - Акцент3 18" xfId="6437" xr:uid="{00000000-0005-0000-0000-0000F6070000}"/>
    <cellStyle name="60% - Акцент3 19" xfId="6438" xr:uid="{00000000-0005-0000-0000-0000F7070000}"/>
    <cellStyle name="60% - Акцент3 2" xfId="651" xr:uid="{00000000-0005-0000-0000-0000F8070000}"/>
    <cellStyle name="60% - Акцент3 2 2" xfId="652" xr:uid="{00000000-0005-0000-0000-0000F9070000}"/>
    <cellStyle name="60% - Акцент3 2 3" xfId="653" xr:uid="{00000000-0005-0000-0000-0000FA070000}"/>
    <cellStyle name="60% - Акцент3 2 4" xfId="654" xr:uid="{00000000-0005-0000-0000-0000FB070000}"/>
    <cellStyle name="60% - Акцент3 2 5" xfId="655" xr:uid="{00000000-0005-0000-0000-0000FC070000}"/>
    <cellStyle name="60% - Акцент3 2 6" xfId="656" xr:uid="{00000000-0005-0000-0000-0000FD070000}"/>
    <cellStyle name="60% - Акцент3 2 7" xfId="657" xr:uid="{00000000-0005-0000-0000-0000FE070000}"/>
    <cellStyle name="60% - Акцент3 2 8" xfId="658" xr:uid="{00000000-0005-0000-0000-0000FF070000}"/>
    <cellStyle name="60% - Акцент3 2 9" xfId="659" xr:uid="{00000000-0005-0000-0000-000000080000}"/>
    <cellStyle name="60% - Акцент3 3" xfId="660" xr:uid="{00000000-0005-0000-0000-000001080000}"/>
    <cellStyle name="60% - Акцент3 4" xfId="661" xr:uid="{00000000-0005-0000-0000-000002080000}"/>
    <cellStyle name="60% - Акцент3 4 2" xfId="662" xr:uid="{00000000-0005-0000-0000-000003080000}"/>
    <cellStyle name="60% - Акцент3 5" xfId="663" xr:uid="{00000000-0005-0000-0000-000004080000}"/>
    <cellStyle name="60% - Акцент3 6" xfId="6439" xr:uid="{00000000-0005-0000-0000-000005080000}"/>
    <cellStyle name="60% - Акцент3 7" xfId="6440" xr:uid="{00000000-0005-0000-0000-000006080000}"/>
    <cellStyle name="60% - Акцент3 8" xfId="6441" xr:uid="{00000000-0005-0000-0000-000007080000}"/>
    <cellStyle name="60% - Акцент3 9" xfId="6442" xr:uid="{00000000-0005-0000-0000-000008080000}"/>
    <cellStyle name="60% - Акцент4 10" xfId="6443" xr:uid="{00000000-0005-0000-0000-000009080000}"/>
    <cellStyle name="60% - Акцент4 11" xfId="6444" xr:uid="{00000000-0005-0000-0000-00000A080000}"/>
    <cellStyle name="60% - Акцент4 12" xfId="6445" xr:uid="{00000000-0005-0000-0000-00000B080000}"/>
    <cellStyle name="60% - Акцент4 13" xfId="6446" xr:uid="{00000000-0005-0000-0000-00000C080000}"/>
    <cellStyle name="60% - Акцент4 14" xfId="6447" xr:uid="{00000000-0005-0000-0000-00000D080000}"/>
    <cellStyle name="60% - Акцент4 15" xfId="6448" xr:uid="{00000000-0005-0000-0000-00000E080000}"/>
    <cellStyle name="60% - Акцент4 16" xfId="6449" xr:uid="{00000000-0005-0000-0000-00000F080000}"/>
    <cellStyle name="60% - Акцент4 17" xfId="6450" xr:uid="{00000000-0005-0000-0000-000010080000}"/>
    <cellStyle name="60% - Акцент4 18" xfId="6451" xr:uid="{00000000-0005-0000-0000-000011080000}"/>
    <cellStyle name="60% - Акцент4 19" xfId="6452" xr:uid="{00000000-0005-0000-0000-000012080000}"/>
    <cellStyle name="60% - Акцент4 2" xfId="664" xr:uid="{00000000-0005-0000-0000-000013080000}"/>
    <cellStyle name="60% - Акцент4 2 2" xfId="665" xr:uid="{00000000-0005-0000-0000-000014080000}"/>
    <cellStyle name="60% - Акцент4 2 3" xfId="666" xr:uid="{00000000-0005-0000-0000-000015080000}"/>
    <cellStyle name="60% - Акцент4 2 4" xfId="667" xr:uid="{00000000-0005-0000-0000-000016080000}"/>
    <cellStyle name="60% - Акцент4 2 5" xfId="668" xr:uid="{00000000-0005-0000-0000-000017080000}"/>
    <cellStyle name="60% - Акцент4 2 6" xfId="669" xr:uid="{00000000-0005-0000-0000-000018080000}"/>
    <cellStyle name="60% - Акцент4 2 7" xfId="670" xr:uid="{00000000-0005-0000-0000-000019080000}"/>
    <cellStyle name="60% - Акцент4 2 8" xfId="671" xr:uid="{00000000-0005-0000-0000-00001A080000}"/>
    <cellStyle name="60% - Акцент4 2 9" xfId="672" xr:uid="{00000000-0005-0000-0000-00001B080000}"/>
    <cellStyle name="60% - Акцент4 3" xfId="673" xr:uid="{00000000-0005-0000-0000-00001C080000}"/>
    <cellStyle name="60% - Акцент4 4" xfId="674" xr:uid="{00000000-0005-0000-0000-00001D080000}"/>
    <cellStyle name="60% - Акцент4 4 2" xfId="675" xr:uid="{00000000-0005-0000-0000-00001E080000}"/>
    <cellStyle name="60% - Акцент4 5" xfId="676" xr:uid="{00000000-0005-0000-0000-00001F080000}"/>
    <cellStyle name="60% - Акцент4 6" xfId="6453" xr:uid="{00000000-0005-0000-0000-000020080000}"/>
    <cellStyle name="60% - Акцент4 7" xfId="6454" xr:uid="{00000000-0005-0000-0000-000021080000}"/>
    <cellStyle name="60% - Акцент4 8" xfId="6455" xr:uid="{00000000-0005-0000-0000-000022080000}"/>
    <cellStyle name="60% - Акцент4 9" xfId="6456" xr:uid="{00000000-0005-0000-0000-000023080000}"/>
    <cellStyle name="60% - Акцент5 2" xfId="677" xr:uid="{00000000-0005-0000-0000-000024080000}"/>
    <cellStyle name="60% - Акцент5 2 2" xfId="678" xr:uid="{00000000-0005-0000-0000-000025080000}"/>
    <cellStyle name="60% - Акцент5 2 3" xfId="679" xr:uid="{00000000-0005-0000-0000-000026080000}"/>
    <cellStyle name="60% - Акцент5 2 4" xfId="680" xr:uid="{00000000-0005-0000-0000-000027080000}"/>
    <cellStyle name="60% - Акцент5 2 5" xfId="681" xr:uid="{00000000-0005-0000-0000-000028080000}"/>
    <cellStyle name="60% - Акцент5 2 6" xfId="682" xr:uid="{00000000-0005-0000-0000-000029080000}"/>
    <cellStyle name="60% - Акцент5 2 7" xfId="683" xr:uid="{00000000-0005-0000-0000-00002A080000}"/>
    <cellStyle name="60% - Акцент5 2 8" xfId="684" xr:uid="{00000000-0005-0000-0000-00002B080000}"/>
    <cellStyle name="60% - Акцент5 2 9" xfId="685" xr:uid="{00000000-0005-0000-0000-00002C080000}"/>
    <cellStyle name="60% - Акцент5 3" xfId="686" xr:uid="{00000000-0005-0000-0000-00002D080000}"/>
    <cellStyle name="60% - Акцент6 10" xfId="6457" xr:uid="{00000000-0005-0000-0000-00002E080000}"/>
    <cellStyle name="60% - Акцент6 11" xfId="6458" xr:uid="{00000000-0005-0000-0000-00002F080000}"/>
    <cellStyle name="60% - Акцент6 12" xfId="6459" xr:uid="{00000000-0005-0000-0000-000030080000}"/>
    <cellStyle name="60% - Акцент6 13" xfId="6460" xr:uid="{00000000-0005-0000-0000-000031080000}"/>
    <cellStyle name="60% - Акцент6 14" xfId="6461" xr:uid="{00000000-0005-0000-0000-000032080000}"/>
    <cellStyle name="60% - Акцент6 15" xfId="6462" xr:uid="{00000000-0005-0000-0000-000033080000}"/>
    <cellStyle name="60% - Акцент6 16" xfId="6463" xr:uid="{00000000-0005-0000-0000-000034080000}"/>
    <cellStyle name="60% - Акцент6 17" xfId="6464" xr:uid="{00000000-0005-0000-0000-000035080000}"/>
    <cellStyle name="60% - Акцент6 18" xfId="6465" xr:uid="{00000000-0005-0000-0000-000036080000}"/>
    <cellStyle name="60% - Акцент6 19" xfId="6466" xr:uid="{00000000-0005-0000-0000-000037080000}"/>
    <cellStyle name="60% - Акцент6 2" xfId="687" xr:uid="{00000000-0005-0000-0000-000038080000}"/>
    <cellStyle name="60% - Акцент6 2 2" xfId="688" xr:uid="{00000000-0005-0000-0000-000039080000}"/>
    <cellStyle name="60% - Акцент6 2 3" xfId="689" xr:uid="{00000000-0005-0000-0000-00003A080000}"/>
    <cellStyle name="60% - Акцент6 2 4" xfId="690" xr:uid="{00000000-0005-0000-0000-00003B080000}"/>
    <cellStyle name="60% - Акцент6 2 5" xfId="691" xr:uid="{00000000-0005-0000-0000-00003C080000}"/>
    <cellStyle name="60% - Акцент6 2 6" xfId="692" xr:uid="{00000000-0005-0000-0000-00003D080000}"/>
    <cellStyle name="60% - Акцент6 2 7" xfId="693" xr:uid="{00000000-0005-0000-0000-00003E080000}"/>
    <cellStyle name="60% - Акцент6 2 8" xfId="694" xr:uid="{00000000-0005-0000-0000-00003F080000}"/>
    <cellStyle name="60% - Акцент6 2 9" xfId="695" xr:uid="{00000000-0005-0000-0000-000040080000}"/>
    <cellStyle name="60% - Акцент6 3" xfId="696" xr:uid="{00000000-0005-0000-0000-000041080000}"/>
    <cellStyle name="60% - Акцент6 4" xfId="697" xr:uid="{00000000-0005-0000-0000-000042080000}"/>
    <cellStyle name="60% - Акцент6 4 2" xfId="698" xr:uid="{00000000-0005-0000-0000-000043080000}"/>
    <cellStyle name="60% - Акцент6 5" xfId="699" xr:uid="{00000000-0005-0000-0000-000044080000}"/>
    <cellStyle name="60% - Акцент6 6" xfId="6467" xr:uid="{00000000-0005-0000-0000-000045080000}"/>
    <cellStyle name="60% - Акцент6 7" xfId="6468" xr:uid="{00000000-0005-0000-0000-000046080000}"/>
    <cellStyle name="60% - Акцент6 8" xfId="6469" xr:uid="{00000000-0005-0000-0000-000047080000}"/>
    <cellStyle name="60% - Акцент6 9" xfId="6470" xr:uid="{00000000-0005-0000-0000-000048080000}"/>
    <cellStyle name="Accent1" xfId="700" xr:uid="{00000000-0005-0000-0000-000049080000}"/>
    <cellStyle name="Accent1 2" xfId="701" xr:uid="{00000000-0005-0000-0000-00004A080000}"/>
    <cellStyle name="Accent1 2 10" xfId="702" xr:uid="{00000000-0005-0000-0000-00004B080000}"/>
    <cellStyle name="Accent1 2 10 2" xfId="6471" xr:uid="{00000000-0005-0000-0000-00004C080000}"/>
    <cellStyle name="Accent1 2 11" xfId="6472" xr:uid="{00000000-0005-0000-0000-00004D080000}"/>
    <cellStyle name="Accent1 2 12" xfId="6473" xr:uid="{00000000-0005-0000-0000-00004E080000}"/>
    <cellStyle name="Accent1 2 13" xfId="6474" xr:uid="{00000000-0005-0000-0000-00004F080000}"/>
    <cellStyle name="Accent1 2 14" xfId="6475" xr:uid="{00000000-0005-0000-0000-000050080000}"/>
    <cellStyle name="Accent1 2 15" xfId="6476" xr:uid="{00000000-0005-0000-0000-000051080000}"/>
    <cellStyle name="Accent1 2 16" xfId="6477" xr:uid="{00000000-0005-0000-0000-000052080000}"/>
    <cellStyle name="Accent1 2 17" xfId="6478" xr:uid="{00000000-0005-0000-0000-000053080000}"/>
    <cellStyle name="Accent1 2 18" xfId="6479" xr:uid="{00000000-0005-0000-0000-000054080000}"/>
    <cellStyle name="Accent1 2 19" xfId="6480" xr:uid="{00000000-0005-0000-0000-000055080000}"/>
    <cellStyle name="Accent1 2 2" xfId="703" xr:uid="{00000000-0005-0000-0000-000056080000}"/>
    <cellStyle name="Accent1 2 20" xfId="6481" xr:uid="{00000000-0005-0000-0000-000057080000}"/>
    <cellStyle name="Accent1 2 21" xfId="6482" xr:uid="{00000000-0005-0000-0000-000058080000}"/>
    <cellStyle name="Accent1 2 22" xfId="6483" xr:uid="{00000000-0005-0000-0000-000059080000}"/>
    <cellStyle name="Accent1 2 23" xfId="6484" xr:uid="{00000000-0005-0000-0000-00005A080000}"/>
    <cellStyle name="Accent1 2 24" xfId="6485" xr:uid="{00000000-0005-0000-0000-00005B080000}"/>
    <cellStyle name="Accent1 2 25" xfId="6486" xr:uid="{00000000-0005-0000-0000-00005C080000}"/>
    <cellStyle name="Accent1 2 26" xfId="6487" xr:uid="{00000000-0005-0000-0000-00005D080000}"/>
    <cellStyle name="Accent1 2 3" xfId="704" xr:uid="{00000000-0005-0000-0000-00005E080000}"/>
    <cellStyle name="Accent1 2 3 2" xfId="705" xr:uid="{00000000-0005-0000-0000-00005F080000}"/>
    <cellStyle name="Accent1 2 3 2 2" xfId="6488" xr:uid="{00000000-0005-0000-0000-000060080000}"/>
    <cellStyle name="Accent1 2 3 3" xfId="706" xr:uid="{00000000-0005-0000-0000-000061080000}"/>
    <cellStyle name="Accent1 2 3 3 2" xfId="6489" xr:uid="{00000000-0005-0000-0000-000062080000}"/>
    <cellStyle name="Accent1 2 3 4" xfId="707" xr:uid="{00000000-0005-0000-0000-000063080000}"/>
    <cellStyle name="Accent1 2 3 4 2" xfId="6490" xr:uid="{00000000-0005-0000-0000-000064080000}"/>
    <cellStyle name="Accent1 2 3 5" xfId="708" xr:uid="{00000000-0005-0000-0000-000065080000}"/>
    <cellStyle name="Accent1 2 3 5 2" xfId="6491" xr:uid="{00000000-0005-0000-0000-000066080000}"/>
    <cellStyle name="Accent1 2 3 6" xfId="709" xr:uid="{00000000-0005-0000-0000-000067080000}"/>
    <cellStyle name="Accent1 2 3 6 2" xfId="6492" xr:uid="{00000000-0005-0000-0000-000068080000}"/>
    <cellStyle name="Accent1 2 3 7" xfId="710" xr:uid="{00000000-0005-0000-0000-000069080000}"/>
    <cellStyle name="Accent1 2 3 7 2" xfId="6493" xr:uid="{00000000-0005-0000-0000-00006A080000}"/>
    <cellStyle name="Accent1 2 3 8" xfId="711" xr:uid="{00000000-0005-0000-0000-00006B080000}"/>
    <cellStyle name="Accent1 2 3 8 2" xfId="6494" xr:uid="{00000000-0005-0000-0000-00006C080000}"/>
    <cellStyle name="Accent1 2 3 9" xfId="6495" xr:uid="{00000000-0005-0000-0000-00006D080000}"/>
    <cellStyle name="Accent1 2 4" xfId="712" xr:uid="{00000000-0005-0000-0000-00006E080000}"/>
    <cellStyle name="Accent1 2 4 10" xfId="6496" xr:uid="{00000000-0005-0000-0000-00006F080000}"/>
    <cellStyle name="Accent1 2 4 2" xfId="6497" xr:uid="{00000000-0005-0000-0000-000070080000}"/>
    <cellStyle name="Accent1 2 4 3" xfId="6498" xr:uid="{00000000-0005-0000-0000-000071080000}"/>
    <cellStyle name="Accent1 2 4 4" xfId="6499" xr:uid="{00000000-0005-0000-0000-000072080000}"/>
    <cellStyle name="Accent1 2 4 5" xfId="6500" xr:uid="{00000000-0005-0000-0000-000073080000}"/>
    <cellStyle name="Accent1 2 4 6" xfId="6501" xr:uid="{00000000-0005-0000-0000-000074080000}"/>
    <cellStyle name="Accent1 2 4 7" xfId="6502" xr:uid="{00000000-0005-0000-0000-000075080000}"/>
    <cellStyle name="Accent1 2 4 8" xfId="6503" xr:uid="{00000000-0005-0000-0000-000076080000}"/>
    <cellStyle name="Accent1 2 4 9" xfId="6504" xr:uid="{00000000-0005-0000-0000-000077080000}"/>
    <cellStyle name="Accent1 2 5" xfId="713" xr:uid="{00000000-0005-0000-0000-000078080000}"/>
    <cellStyle name="Accent1 2 6" xfId="714" xr:uid="{00000000-0005-0000-0000-000079080000}"/>
    <cellStyle name="Accent1 2 7" xfId="715" xr:uid="{00000000-0005-0000-0000-00007A080000}"/>
    <cellStyle name="Accent1 2 8" xfId="716" xr:uid="{00000000-0005-0000-0000-00007B080000}"/>
    <cellStyle name="Accent1 2 9" xfId="717" xr:uid="{00000000-0005-0000-0000-00007C080000}"/>
    <cellStyle name="Accent1 2_Blood_21months_EURO" xfId="718" xr:uid="{00000000-0005-0000-0000-00007D080000}"/>
    <cellStyle name="Accent1 3" xfId="719" xr:uid="{00000000-0005-0000-0000-00007E080000}"/>
    <cellStyle name="Accent1 3 2" xfId="720" xr:uid="{00000000-0005-0000-0000-00007F080000}"/>
    <cellStyle name="Accent1 4" xfId="721" xr:uid="{00000000-0005-0000-0000-000080080000}"/>
    <cellStyle name="Accent1 4 2" xfId="722" xr:uid="{00000000-0005-0000-0000-000081080000}"/>
    <cellStyle name="Accent1 5" xfId="723" xr:uid="{00000000-0005-0000-0000-000082080000}"/>
    <cellStyle name="Accent1 6" xfId="724" xr:uid="{00000000-0005-0000-0000-000083080000}"/>
    <cellStyle name="Accent1 6 2" xfId="725" xr:uid="{00000000-0005-0000-0000-000084080000}"/>
    <cellStyle name="Accent1 7" xfId="726" xr:uid="{00000000-0005-0000-0000-000085080000}"/>
    <cellStyle name="Accent1 7 2" xfId="727" xr:uid="{00000000-0005-0000-0000-000086080000}"/>
    <cellStyle name="Accent2" xfId="728" xr:uid="{00000000-0005-0000-0000-000087080000}"/>
    <cellStyle name="Accent2 2" xfId="729" xr:uid="{00000000-0005-0000-0000-000088080000}"/>
    <cellStyle name="Accent2 2 10" xfId="6505" xr:uid="{00000000-0005-0000-0000-000089080000}"/>
    <cellStyle name="Accent2 2 11" xfId="6506" xr:uid="{00000000-0005-0000-0000-00008A080000}"/>
    <cellStyle name="Accent2 2 12" xfId="6507" xr:uid="{00000000-0005-0000-0000-00008B080000}"/>
    <cellStyle name="Accent2 2 2" xfId="730" xr:uid="{00000000-0005-0000-0000-00008C080000}"/>
    <cellStyle name="Accent2 2 3" xfId="731" xr:uid="{00000000-0005-0000-0000-00008D080000}"/>
    <cellStyle name="Accent2 2 4" xfId="732" xr:uid="{00000000-0005-0000-0000-00008E080000}"/>
    <cellStyle name="Accent2 2 5" xfId="733" xr:uid="{00000000-0005-0000-0000-00008F080000}"/>
    <cellStyle name="Accent2 2 6" xfId="734" xr:uid="{00000000-0005-0000-0000-000090080000}"/>
    <cellStyle name="Accent2 2 7" xfId="735" xr:uid="{00000000-0005-0000-0000-000091080000}"/>
    <cellStyle name="Accent2 2 8" xfId="736" xr:uid="{00000000-0005-0000-0000-000092080000}"/>
    <cellStyle name="Accent2 2 9" xfId="737" xr:uid="{00000000-0005-0000-0000-000093080000}"/>
    <cellStyle name="Accent2 3" xfId="738" xr:uid="{00000000-0005-0000-0000-000094080000}"/>
    <cellStyle name="Accent2 3 2" xfId="739" xr:uid="{00000000-0005-0000-0000-000095080000}"/>
    <cellStyle name="Accent2 4" xfId="740" xr:uid="{00000000-0005-0000-0000-000096080000}"/>
    <cellStyle name="Accent2 4 2" xfId="741" xr:uid="{00000000-0005-0000-0000-000097080000}"/>
    <cellStyle name="Accent2 5" xfId="742" xr:uid="{00000000-0005-0000-0000-000098080000}"/>
    <cellStyle name="Accent2 6" xfId="743" xr:uid="{00000000-0005-0000-0000-000099080000}"/>
    <cellStyle name="Accent2 6 2" xfId="744" xr:uid="{00000000-0005-0000-0000-00009A080000}"/>
    <cellStyle name="Accent2 7" xfId="745" xr:uid="{00000000-0005-0000-0000-00009B080000}"/>
    <cellStyle name="Accent2 7 2" xfId="746" xr:uid="{00000000-0005-0000-0000-00009C080000}"/>
    <cellStyle name="Accent3" xfId="747" xr:uid="{00000000-0005-0000-0000-00009D080000}"/>
    <cellStyle name="Accent3 2" xfId="748" xr:uid="{00000000-0005-0000-0000-00009E080000}"/>
    <cellStyle name="Accent3 2 10" xfId="6508" xr:uid="{00000000-0005-0000-0000-00009F080000}"/>
    <cellStyle name="Accent3 2 11" xfId="6509" xr:uid="{00000000-0005-0000-0000-0000A0080000}"/>
    <cellStyle name="Accent3 2 12" xfId="6510" xr:uid="{00000000-0005-0000-0000-0000A1080000}"/>
    <cellStyle name="Accent3 2 2" xfId="749" xr:uid="{00000000-0005-0000-0000-0000A2080000}"/>
    <cellStyle name="Accent3 2 3" xfId="750" xr:uid="{00000000-0005-0000-0000-0000A3080000}"/>
    <cellStyle name="Accent3 2 4" xfId="751" xr:uid="{00000000-0005-0000-0000-0000A4080000}"/>
    <cellStyle name="Accent3 2 5" xfId="752" xr:uid="{00000000-0005-0000-0000-0000A5080000}"/>
    <cellStyle name="Accent3 2 6" xfId="753" xr:uid="{00000000-0005-0000-0000-0000A6080000}"/>
    <cellStyle name="Accent3 2 7" xfId="754" xr:uid="{00000000-0005-0000-0000-0000A7080000}"/>
    <cellStyle name="Accent3 2 8" xfId="755" xr:uid="{00000000-0005-0000-0000-0000A8080000}"/>
    <cellStyle name="Accent3 2 9" xfId="756" xr:uid="{00000000-0005-0000-0000-0000A9080000}"/>
    <cellStyle name="Accent3 3" xfId="757" xr:uid="{00000000-0005-0000-0000-0000AA080000}"/>
    <cellStyle name="Accent3 3 2" xfId="758" xr:uid="{00000000-0005-0000-0000-0000AB080000}"/>
    <cellStyle name="Accent3 4" xfId="759" xr:uid="{00000000-0005-0000-0000-0000AC080000}"/>
    <cellStyle name="Accent3 4 2" xfId="760" xr:uid="{00000000-0005-0000-0000-0000AD080000}"/>
    <cellStyle name="Accent3 5" xfId="761" xr:uid="{00000000-0005-0000-0000-0000AE080000}"/>
    <cellStyle name="Accent3 6" xfId="762" xr:uid="{00000000-0005-0000-0000-0000AF080000}"/>
    <cellStyle name="Accent3 6 2" xfId="763" xr:uid="{00000000-0005-0000-0000-0000B0080000}"/>
    <cellStyle name="Accent3 7" xfId="764" xr:uid="{00000000-0005-0000-0000-0000B1080000}"/>
    <cellStyle name="Accent3 7 2" xfId="765" xr:uid="{00000000-0005-0000-0000-0000B2080000}"/>
    <cellStyle name="Accent4" xfId="766" xr:uid="{00000000-0005-0000-0000-0000B3080000}"/>
    <cellStyle name="Accent4 2" xfId="767" xr:uid="{00000000-0005-0000-0000-0000B4080000}"/>
    <cellStyle name="Accent4 2 10" xfId="768" xr:uid="{00000000-0005-0000-0000-0000B5080000}"/>
    <cellStyle name="Accent4 2 10 2" xfId="6511" xr:uid="{00000000-0005-0000-0000-0000B6080000}"/>
    <cellStyle name="Accent4 2 11" xfId="6512" xr:uid="{00000000-0005-0000-0000-0000B7080000}"/>
    <cellStyle name="Accent4 2 12" xfId="6513" xr:uid="{00000000-0005-0000-0000-0000B8080000}"/>
    <cellStyle name="Accent4 2 13" xfId="6514" xr:uid="{00000000-0005-0000-0000-0000B9080000}"/>
    <cellStyle name="Accent4 2 14" xfId="6515" xr:uid="{00000000-0005-0000-0000-0000BA080000}"/>
    <cellStyle name="Accent4 2 15" xfId="6516" xr:uid="{00000000-0005-0000-0000-0000BB080000}"/>
    <cellStyle name="Accent4 2 16" xfId="6517" xr:uid="{00000000-0005-0000-0000-0000BC080000}"/>
    <cellStyle name="Accent4 2 17" xfId="6518" xr:uid="{00000000-0005-0000-0000-0000BD080000}"/>
    <cellStyle name="Accent4 2 18" xfId="6519" xr:uid="{00000000-0005-0000-0000-0000BE080000}"/>
    <cellStyle name="Accent4 2 19" xfId="6520" xr:uid="{00000000-0005-0000-0000-0000BF080000}"/>
    <cellStyle name="Accent4 2 2" xfId="769" xr:uid="{00000000-0005-0000-0000-0000C0080000}"/>
    <cellStyle name="Accent4 2 20" xfId="6521" xr:uid="{00000000-0005-0000-0000-0000C1080000}"/>
    <cellStyle name="Accent4 2 21" xfId="6522" xr:uid="{00000000-0005-0000-0000-0000C2080000}"/>
    <cellStyle name="Accent4 2 22" xfId="6523" xr:uid="{00000000-0005-0000-0000-0000C3080000}"/>
    <cellStyle name="Accent4 2 23" xfId="6524" xr:uid="{00000000-0005-0000-0000-0000C4080000}"/>
    <cellStyle name="Accent4 2 24" xfId="6525" xr:uid="{00000000-0005-0000-0000-0000C5080000}"/>
    <cellStyle name="Accent4 2 25" xfId="6526" xr:uid="{00000000-0005-0000-0000-0000C6080000}"/>
    <cellStyle name="Accent4 2 26" xfId="6527" xr:uid="{00000000-0005-0000-0000-0000C7080000}"/>
    <cellStyle name="Accent4 2 3" xfId="770" xr:uid="{00000000-0005-0000-0000-0000C8080000}"/>
    <cellStyle name="Accent4 2 3 2" xfId="771" xr:uid="{00000000-0005-0000-0000-0000C9080000}"/>
    <cellStyle name="Accent4 2 3 2 2" xfId="6528" xr:uid="{00000000-0005-0000-0000-0000CA080000}"/>
    <cellStyle name="Accent4 2 3 3" xfId="772" xr:uid="{00000000-0005-0000-0000-0000CB080000}"/>
    <cellStyle name="Accent4 2 3 3 2" xfId="6529" xr:uid="{00000000-0005-0000-0000-0000CC080000}"/>
    <cellStyle name="Accent4 2 3 4" xfId="773" xr:uid="{00000000-0005-0000-0000-0000CD080000}"/>
    <cellStyle name="Accent4 2 3 4 2" xfId="6530" xr:uid="{00000000-0005-0000-0000-0000CE080000}"/>
    <cellStyle name="Accent4 2 3 5" xfId="774" xr:uid="{00000000-0005-0000-0000-0000CF080000}"/>
    <cellStyle name="Accent4 2 3 5 2" xfId="6531" xr:uid="{00000000-0005-0000-0000-0000D0080000}"/>
    <cellStyle name="Accent4 2 3 6" xfId="775" xr:uid="{00000000-0005-0000-0000-0000D1080000}"/>
    <cellStyle name="Accent4 2 3 6 2" xfId="6532" xr:uid="{00000000-0005-0000-0000-0000D2080000}"/>
    <cellStyle name="Accent4 2 3 7" xfId="776" xr:uid="{00000000-0005-0000-0000-0000D3080000}"/>
    <cellStyle name="Accent4 2 3 7 2" xfId="6533" xr:uid="{00000000-0005-0000-0000-0000D4080000}"/>
    <cellStyle name="Accent4 2 3 8" xfId="777" xr:uid="{00000000-0005-0000-0000-0000D5080000}"/>
    <cellStyle name="Accent4 2 3 8 2" xfId="6534" xr:uid="{00000000-0005-0000-0000-0000D6080000}"/>
    <cellStyle name="Accent4 2 3 9" xfId="6535" xr:uid="{00000000-0005-0000-0000-0000D7080000}"/>
    <cellStyle name="Accent4 2 4" xfId="778" xr:uid="{00000000-0005-0000-0000-0000D8080000}"/>
    <cellStyle name="Accent4 2 4 10" xfId="6536" xr:uid="{00000000-0005-0000-0000-0000D9080000}"/>
    <cellStyle name="Accent4 2 4 2" xfId="6537" xr:uid="{00000000-0005-0000-0000-0000DA080000}"/>
    <cellStyle name="Accent4 2 4 3" xfId="6538" xr:uid="{00000000-0005-0000-0000-0000DB080000}"/>
    <cellStyle name="Accent4 2 4 4" xfId="6539" xr:uid="{00000000-0005-0000-0000-0000DC080000}"/>
    <cellStyle name="Accent4 2 4 5" xfId="6540" xr:uid="{00000000-0005-0000-0000-0000DD080000}"/>
    <cellStyle name="Accent4 2 4 6" xfId="6541" xr:uid="{00000000-0005-0000-0000-0000DE080000}"/>
    <cellStyle name="Accent4 2 4 7" xfId="6542" xr:uid="{00000000-0005-0000-0000-0000DF080000}"/>
    <cellStyle name="Accent4 2 4 8" xfId="6543" xr:uid="{00000000-0005-0000-0000-0000E0080000}"/>
    <cellStyle name="Accent4 2 4 9" xfId="6544" xr:uid="{00000000-0005-0000-0000-0000E1080000}"/>
    <cellStyle name="Accent4 2 5" xfId="779" xr:uid="{00000000-0005-0000-0000-0000E2080000}"/>
    <cellStyle name="Accent4 2 6" xfId="780" xr:uid="{00000000-0005-0000-0000-0000E3080000}"/>
    <cellStyle name="Accent4 2 7" xfId="781" xr:uid="{00000000-0005-0000-0000-0000E4080000}"/>
    <cellStyle name="Accent4 2 8" xfId="782" xr:uid="{00000000-0005-0000-0000-0000E5080000}"/>
    <cellStyle name="Accent4 2 9" xfId="783" xr:uid="{00000000-0005-0000-0000-0000E6080000}"/>
    <cellStyle name="Accent4 2_Blood_21months_EURO" xfId="784" xr:uid="{00000000-0005-0000-0000-0000E7080000}"/>
    <cellStyle name="Accent4 3" xfId="785" xr:uid="{00000000-0005-0000-0000-0000E8080000}"/>
    <cellStyle name="Accent4 3 2" xfId="786" xr:uid="{00000000-0005-0000-0000-0000E9080000}"/>
    <cellStyle name="Accent4 4" xfId="787" xr:uid="{00000000-0005-0000-0000-0000EA080000}"/>
    <cellStyle name="Accent4 4 2" xfId="788" xr:uid="{00000000-0005-0000-0000-0000EB080000}"/>
    <cellStyle name="Accent4 5" xfId="789" xr:uid="{00000000-0005-0000-0000-0000EC080000}"/>
    <cellStyle name="Accent4 6" xfId="790" xr:uid="{00000000-0005-0000-0000-0000ED080000}"/>
    <cellStyle name="Accent4 6 2" xfId="791" xr:uid="{00000000-0005-0000-0000-0000EE080000}"/>
    <cellStyle name="Accent4 7" xfId="792" xr:uid="{00000000-0005-0000-0000-0000EF080000}"/>
    <cellStyle name="Accent4 7 2" xfId="793" xr:uid="{00000000-0005-0000-0000-0000F0080000}"/>
    <cellStyle name="Accent5" xfId="794" xr:uid="{00000000-0005-0000-0000-0000F1080000}"/>
    <cellStyle name="Accent5 2" xfId="795" xr:uid="{00000000-0005-0000-0000-0000F2080000}"/>
    <cellStyle name="Accent5 2 10" xfId="6545" xr:uid="{00000000-0005-0000-0000-0000F3080000}"/>
    <cellStyle name="Accent5 2 11" xfId="6546" xr:uid="{00000000-0005-0000-0000-0000F4080000}"/>
    <cellStyle name="Accent5 2 12" xfId="6547" xr:uid="{00000000-0005-0000-0000-0000F5080000}"/>
    <cellStyle name="Accent5 2 2" xfId="796" xr:uid="{00000000-0005-0000-0000-0000F6080000}"/>
    <cellStyle name="Accent5 2 3" xfId="797" xr:uid="{00000000-0005-0000-0000-0000F7080000}"/>
    <cellStyle name="Accent5 2 4" xfId="798" xr:uid="{00000000-0005-0000-0000-0000F8080000}"/>
    <cellStyle name="Accent5 2 5" xfId="799" xr:uid="{00000000-0005-0000-0000-0000F9080000}"/>
    <cellStyle name="Accent5 2 6" xfId="800" xr:uid="{00000000-0005-0000-0000-0000FA080000}"/>
    <cellStyle name="Accent5 2 7" xfId="801" xr:uid="{00000000-0005-0000-0000-0000FB080000}"/>
    <cellStyle name="Accent5 2 8" xfId="802" xr:uid="{00000000-0005-0000-0000-0000FC080000}"/>
    <cellStyle name="Accent5 2 9" xfId="803" xr:uid="{00000000-0005-0000-0000-0000FD080000}"/>
    <cellStyle name="Accent5 3" xfId="804" xr:uid="{00000000-0005-0000-0000-0000FE080000}"/>
    <cellStyle name="Accent5 3 2" xfId="805" xr:uid="{00000000-0005-0000-0000-0000FF080000}"/>
    <cellStyle name="Accent5 4" xfId="806" xr:uid="{00000000-0005-0000-0000-000000090000}"/>
    <cellStyle name="Accent5 4 2" xfId="807" xr:uid="{00000000-0005-0000-0000-000001090000}"/>
    <cellStyle name="Accent5 5" xfId="808" xr:uid="{00000000-0005-0000-0000-000002090000}"/>
    <cellStyle name="Accent5 6" xfId="809" xr:uid="{00000000-0005-0000-0000-000003090000}"/>
    <cellStyle name="Accent5 6 2" xfId="810" xr:uid="{00000000-0005-0000-0000-000004090000}"/>
    <cellStyle name="Accent5 7" xfId="811" xr:uid="{00000000-0005-0000-0000-000005090000}"/>
    <cellStyle name="Accent5 7 2" xfId="812" xr:uid="{00000000-0005-0000-0000-000006090000}"/>
    <cellStyle name="Accent6" xfId="813" xr:uid="{00000000-0005-0000-0000-000007090000}"/>
    <cellStyle name="Accent6 2" xfId="814" xr:uid="{00000000-0005-0000-0000-000008090000}"/>
    <cellStyle name="Accent6 2 10" xfId="6548" xr:uid="{00000000-0005-0000-0000-000009090000}"/>
    <cellStyle name="Accent6 2 11" xfId="6549" xr:uid="{00000000-0005-0000-0000-00000A090000}"/>
    <cellStyle name="Accent6 2 12" xfId="6550" xr:uid="{00000000-0005-0000-0000-00000B090000}"/>
    <cellStyle name="Accent6 2 2" xfId="815" xr:uid="{00000000-0005-0000-0000-00000C090000}"/>
    <cellStyle name="Accent6 2 3" xfId="816" xr:uid="{00000000-0005-0000-0000-00000D090000}"/>
    <cellStyle name="Accent6 2 4" xfId="817" xr:uid="{00000000-0005-0000-0000-00000E090000}"/>
    <cellStyle name="Accent6 2 5" xfId="818" xr:uid="{00000000-0005-0000-0000-00000F090000}"/>
    <cellStyle name="Accent6 2 6" xfId="819" xr:uid="{00000000-0005-0000-0000-000010090000}"/>
    <cellStyle name="Accent6 2 7" xfId="820" xr:uid="{00000000-0005-0000-0000-000011090000}"/>
    <cellStyle name="Accent6 2 8" xfId="821" xr:uid="{00000000-0005-0000-0000-000012090000}"/>
    <cellStyle name="Accent6 2 9" xfId="822" xr:uid="{00000000-0005-0000-0000-000013090000}"/>
    <cellStyle name="Accent6 3" xfId="823" xr:uid="{00000000-0005-0000-0000-000014090000}"/>
    <cellStyle name="Accent6 3 2" xfId="824" xr:uid="{00000000-0005-0000-0000-000015090000}"/>
    <cellStyle name="Accent6 4" xfId="825" xr:uid="{00000000-0005-0000-0000-000016090000}"/>
    <cellStyle name="Accent6 4 2" xfId="826" xr:uid="{00000000-0005-0000-0000-000017090000}"/>
    <cellStyle name="Accent6 5" xfId="827" xr:uid="{00000000-0005-0000-0000-000018090000}"/>
    <cellStyle name="Accent6 6" xfId="828" xr:uid="{00000000-0005-0000-0000-000019090000}"/>
    <cellStyle name="Accent6 6 2" xfId="829" xr:uid="{00000000-0005-0000-0000-00001A090000}"/>
    <cellStyle name="Accent6 7" xfId="830" xr:uid="{00000000-0005-0000-0000-00001B090000}"/>
    <cellStyle name="Accent6 7 2" xfId="831" xr:uid="{00000000-0005-0000-0000-00001C090000}"/>
    <cellStyle name="Bad" xfId="832" xr:uid="{00000000-0005-0000-0000-00001D090000}"/>
    <cellStyle name="Bad 2" xfId="833" xr:uid="{00000000-0005-0000-0000-00001E090000}"/>
    <cellStyle name="Bad 2 10" xfId="6551" xr:uid="{00000000-0005-0000-0000-00001F090000}"/>
    <cellStyle name="Bad 2 11" xfId="6552" xr:uid="{00000000-0005-0000-0000-000020090000}"/>
    <cellStyle name="Bad 2 12" xfId="6553" xr:uid="{00000000-0005-0000-0000-000021090000}"/>
    <cellStyle name="Bad 2 2" xfId="834" xr:uid="{00000000-0005-0000-0000-000022090000}"/>
    <cellStyle name="Bad 2 3" xfId="835" xr:uid="{00000000-0005-0000-0000-000023090000}"/>
    <cellStyle name="Bad 2 4" xfId="836" xr:uid="{00000000-0005-0000-0000-000024090000}"/>
    <cellStyle name="Bad 2 5" xfId="837" xr:uid="{00000000-0005-0000-0000-000025090000}"/>
    <cellStyle name="Bad 2 6" xfId="838" xr:uid="{00000000-0005-0000-0000-000026090000}"/>
    <cellStyle name="Bad 2 7" xfId="839" xr:uid="{00000000-0005-0000-0000-000027090000}"/>
    <cellStyle name="Bad 2 8" xfId="840" xr:uid="{00000000-0005-0000-0000-000028090000}"/>
    <cellStyle name="Bad 2 9" xfId="841" xr:uid="{00000000-0005-0000-0000-000029090000}"/>
    <cellStyle name="Bad 3" xfId="842" xr:uid="{00000000-0005-0000-0000-00002A090000}"/>
    <cellStyle name="Bad 3 2" xfId="843" xr:uid="{00000000-0005-0000-0000-00002B090000}"/>
    <cellStyle name="Bad 4" xfId="844" xr:uid="{00000000-0005-0000-0000-00002C090000}"/>
    <cellStyle name="Bad 4 2" xfId="845" xr:uid="{00000000-0005-0000-0000-00002D090000}"/>
    <cellStyle name="Bad 5" xfId="846" xr:uid="{00000000-0005-0000-0000-00002E090000}"/>
    <cellStyle name="Bad 6" xfId="847" xr:uid="{00000000-0005-0000-0000-00002F090000}"/>
    <cellStyle name="Bad 6 2" xfId="848" xr:uid="{00000000-0005-0000-0000-000030090000}"/>
    <cellStyle name="Bad 7" xfId="849" xr:uid="{00000000-0005-0000-0000-000031090000}"/>
    <cellStyle name="Bad 7 2" xfId="850" xr:uid="{00000000-0005-0000-0000-000032090000}"/>
    <cellStyle name="Calculation" xfId="851" xr:uid="{00000000-0005-0000-0000-000033090000}"/>
    <cellStyle name="Calculation 2" xfId="852" xr:uid="{00000000-0005-0000-0000-000034090000}"/>
    <cellStyle name="Calculation 2 10" xfId="853" xr:uid="{00000000-0005-0000-0000-000035090000}"/>
    <cellStyle name="Calculation 2 10 2" xfId="6554" xr:uid="{00000000-0005-0000-0000-000036090000}"/>
    <cellStyle name="Calculation 2 11" xfId="6555" xr:uid="{00000000-0005-0000-0000-000037090000}"/>
    <cellStyle name="Calculation 2 12" xfId="6556" xr:uid="{00000000-0005-0000-0000-000038090000}"/>
    <cellStyle name="Calculation 2 13" xfId="6557" xr:uid="{00000000-0005-0000-0000-000039090000}"/>
    <cellStyle name="Calculation 2 14" xfId="6558" xr:uid="{00000000-0005-0000-0000-00003A090000}"/>
    <cellStyle name="Calculation 2 15" xfId="6559" xr:uid="{00000000-0005-0000-0000-00003B090000}"/>
    <cellStyle name="Calculation 2 16" xfId="6560" xr:uid="{00000000-0005-0000-0000-00003C090000}"/>
    <cellStyle name="Calculation 2 17" xfId="6561" xr:uid="{00000000-0005-0000-0000-00003D090000}"/>
    <cellStyle name="Calculation 2 18" xfId="6562" xr:uid="{00000000-0005-0000-0000-00003E090000}"/>
    <cellStyle name="Calculation 2 19" xfId="6563" xr:uid="{00000000-0005-0000-0000-00003F090000}"/>
    <cellStyle name="Calculation 2 2" xfId="854" xr:uid="{00000000-0005-0000-0000-000040090000}"/>
    <cellStyle name="Calculation 2 20" xfId="6564" xr:uid="{00000000-0005-0000-0000-000041090000}"/>
    <cellStyle name="Calculation 2 21" xfId="6565" xr:uid="{00000000-0005-0000-0000-000042090000}"/>
    <cellStyle name="Calculation 2 22" xfId="6566" xr:uid="{00000000-0005-0000-0000-000043090000}"/>
    <cellStyle name="Calculation 2 23" xfId="6567" xr:uid="{00000000-0005-0000-0000-000044090000}"/>
    <cellStyle name="Calculation 2 24" xfId="6568" xr:uid="{00000000-0005-0000-0000-000045090000}"/>
    <cellStyle name="Calculation 2 25" xfId="6569" xr:uid="{00000000-0005-0000-0000-000046090000}"/>
    <cellStyle name="Calculation 2 26" xfId="6570" xr:uid="{00000000-0005-0000-0000-000047090000}"/>
    <cellStyle name="Calculation 2 3" xfId="855" xr:uid="{00000000-0005-0000-0000-000048090000}"/>
    <cellStyle name="Calculation 2 3 2" xfId="856" xr:uid="{00000000-0005-0000-0000-000049090000}"/>
    <cellStyle name="Calculation 2 3 2 2" xfId="6571" xr:uid="{00000000-0005-0000-0000-00004A090000}"/>
    <cellStyle name="Calculation 2 3 3" xfId="857" xr:uid="{00000000-0005-0000-0000-00004B090000}"/>
    <cellStyle name="Calculation 2 3 3 2" xfId="6572" xr:uid="{00000000-0005-0000-0000-00004C090000}"/>
    <cellStyle name="Calculation 2 3 4" xfId="858" xr:uid="{00000000-0005-0000-0000-00004D090000}"/>
    <cellStyle name="Calculation 2 3 4 2" xfId="6573" xr:uid="{00000000-0005-0000-0000-00004E090000}"/>
    <cellStyle name="Calculation 2 3 5" xfId="859" xr:uid="{00000000-0005-0000-0000-00004F090000}"/>
    <cellStyle name="Calculation 2 3 5 2" xfId="6574" xr:uid="{00000000-0005-0000-0000-000050090000}"/>
    <cellStyle name="Calculation 2 3 6" xfId="860" xr:uid="{00000000-0005-0000-0000-000051090000}"/>
    <cellStyle name="Calculation 2 3 6 2" xfId="6575" xr:uid="{00000000-0005-0000-0000-000052090000}"/>
    <cellStyle name="Calculation 2 3 7" xfId="861" xr:uid="{00000000-0005-0000-0000-000053090000}"/>
    <cellStyle name="Calculation 2 3 7 2" xfId="6576" xr:uid="{00000000-0005-0000-0000-000054090000}"/>
    <cellStyle name="Calculation 2 3 8" xfId="862" xr:uid="{00000000-0005-0000-0000-000055090000}"/>
    <cellStyle name="Calculation 2 3 8 2" xfId="6577" xr:uid="{00000000-0005-0000-0000-000056090000}"/>
    <cellStyle name="Calculation 2 3 9" xfId="6578" xr:uid="{00000000-0005-0000-0000-000057090000}"/>
    <cellStyle name="Calculation 2 4" xfId="863" xr:uid="{00000000-0005-0000-0000-000058090000}"/>
    <cellStyle name="Calculation 2 4 10" xfId="6579" xr:uid="{00000000-0005-0000-0000-000059090000}"/>
    <cellStyle name="Calculation 2 4 2" xfId="6580" xr:uid="{00000000-0005-0000-0000-00005A090000}"/>
    <cellStyle name="Calculation 2 4 3" xfId="6581" xr:uid="{00000000-0005-0000-0000-00005B090000}"/>
    <cellStyle name="Calculation 2 4 4" xfId="6582" xr:uid="{00000000-0005-0000-0000-00005C090000}"/>
    <cellStyle name="Calculation 2 4 5" xfId="6583" xr:uid="{00000000-0005-0000-0000-00005D090000}"/>
    <cellStyle name="Calculation 2 4 6" xfId="6584" xr:uid="{00000000-0005-0000-0000-00005E090000}"/>
    <cellStyle name="Calculation 2 4 7" xfId="6585" xr:uid="{00000000-0005-0000-0000-00005F090000}"/>
    <cellStyle name="Calculation 2 4 8" xfId="6586" xr:uid="{00000000-0005-0000-0000-000060090000}"/>
    <cellStyle name="Calculation 2 4 9" xfId="6587" xr:uid="{00000000-0005-0000-0000-000061090000}"/>
    <cellStyle name="Calculation 2 5" xfId="864" xr:uid="{00000000-0005-0000-0000-000062090000}"/>
    <cellStyle name="Calculation 2 6" xfId="865" xr:uid="{00000000-0005-0000-0000-000063090000}"/>
    <cellStyle name="Calculation 2 7" xfId="866" xr:uid="{00000000-0005-0000-0000-000064090000}"/>
    <cellStyle name="Calculation 2 8" xfId="867" xr:uid="{00000000-0005-0000-0000-000065090000}"/>
    <cellStyle name="Calculation 2 9" xfId="868" xr:uid="{00000000-0005-0000-0000-000066090000}"/>
    <cellStyle name="Calculation 2_Blood_21months_EURO" xfId="869" xr:uid="{00000000-0005-0000-0000-000067090000}"/>
    <cellStyle name="Calculation 3" xfId="870" xr:uid="{00000000-0005-0000-0000-000068090000}"/>
    <cellStyle name="Calculation 3 2" xfId="871" xr:uid="{00000000-0005-0000-0000-000069090000}"/>
    <cellStyle name="Calculation 3_GEO-H-GPIC 3 months budget_ALLdraft" xfId="872" xr:uid="{00000000-0005-0000-0000-00006A090000}"/>
    <cellStyle name="Calculation 4" xfId="873" xr:uid="{00000000-0005-0000-0000-00006B090000}"/>
    <cellStyle name="Calculation 4 2" xfId="874" xr:uid="{00000000-0005-0000-0000-00006C090000}"/>
    <cellStyle name="Calculation 4_GEO-H-GPIC 3 months budget_ALLdraft" xfId="875" xr:uid="{00000000-0005-0000-0000-00006D090000}"/>
    <cellStyle name="Calculation 5" xfId="876" xr:uid="{00000000-0005-0000-0000-00006E090000}"/>
    <cellStyle name="Calculation 6" xfId="877" xr:uid="{00000000-0005-0000-0000-00006F090000}"/>
    <cellStyle name="Calculation 6 2" xfId="878" xr:uid="{00000000-0005-0000-0000-000070090000}"/>
    <cellStyle name="Calculation 7" xfId="879" xr:uid="{00000000-0005-0000-0000-000071090000}"/>
    <cellStyle name="Calculation 7 2" xfId="880" xr:uid="{00000000-0005-0000-0000-000072090000}"/>
    <cellStyle name="Check Cell" xfId="881" xr:uid="{00000000-0005-0000-0000-000073090000}"/>
    <cellStyle name="Check Cell 2" xfId="882" xr:uid="{00000000-0005-0000-0000-000074090000}"/>
    <cellStyle name="Check Cell 2 10" xfId="6588" xr:uid="{00000000-0005-0000-0000-000075090000}"/>
    <cellStyle name="Check Cell 2 11" xfId="6589" xr:uid="{00000000-0005-0000-0000-000076090000}"/>
    <cellStyle name="Check Cell 2 12" xfId="6590" xr:uid="{00000000-0005-0000-0000-000077090000}"/>
    <cellStyle name="Check Cell 2 2" xfId="883" xr:uid="{00000000-0005-0000-0000-000078090000}"/>
    <cellStyle name="Check Cell 2 3" xfId="884" xr:uid="{00000000-0005-0000-0000-000079090000}"/>
    <cellStyle name="Check Cell 2 4" xfId="885" xr:uid="{00000000-0005-0000-0000-00007A090000}"/>
    <cellStyle name="Check Cell 2 5" xfId="886" xr:uid="{00000000-0005-0000-0000-00007B090000}"/>
    <cellStyle name="Check Cell 2 6" xfId="887" xr:uid="{00000000-0005-0000-0000-00007C090000}"/>
    <cellStyle name="Check Cell 2 7" xfId="888" xr:uid="{00000000-0005-0000-0000-00007D090000}"/>
    <cellStyle name="Check Cell 2 8" xfId="889" xr:uid="{00000000-0005-0000-0000-00007E090000}"/>
    <cellStyle name="Check Cell 2 9" xfId="890" xr:uid="{00000000-0005-0000-0000-00007F090000}"/>
    <cellStyle name="Check Cell 2_Blood_21months_EURO" xfId="891" xr:uid="{00000000-0005-0000-0000-000080090000}"/>
    <cellStyle name="Check Cell 3" xfId="892" xr:uid="{00000000-0005-0000-0000-000081090000}"/>
    <cellStyle name="Check Cell 3 2" xfId="893" xr:uid="{00000000-0005-0000-0000-000082090000}"/>
    <cellStyle name="Check Cell 3_GEO-H-GPIC 3 months budget_ALLdraft" xfId="894" xr:uid="{00000000-0005-0000-0000-000083090000}"/>
    <cellStyle name="Check Cell 4" xfId="895" xr:uid="{00000000-0005-0000-0000-000084090000}"/>
    <cellStyle name="Check Cell 4 2" xfId="896" xr:uid="{00000000-0005-0000-0000-000085090000}"/>
    <cellStyle name="Check Cell 4_GEO-H-GPIC 3 months budget_ALLdraft" xfId="897" xr:uid="{00000000-0005-0000-0000-000086090000}"/>
    <cellStyle name="Check Cell 5" xfId="898" xr:uid="{00000000-0005-0000-0000-000087090000}"/>
    <cellStyle name="Check Cell 6" xfId="899" xr:uid="{00000000-0005-0000-0000-000088090000}"/>
    <cellStyle name="Check Cell 6 2" xfId="900" xr:uid="{00000000-0005-0000-0000-000089090000}"/>
    <cellStyle name="Check Cell 7" xfId="901" xr:uid="{00000000-0005-0000-0000-00008A090000}"/>
    <cellStyle name="Check Cell 7 2" xfId="902" xr:uid="{00000000-0005-0000-0000-00008B090000}"/>
    <cellStyle name="Comma 10" xfId="903" xr:uid="{00000000-0005-0000-0000-00008C090000}"/>
    <cellStyle name="Comma 10 2" xfId="904" xr:uid="{00000000-0005-0000-0000-00008D090000}"/>
    <cellStyle name="Comma 10 3" xfId="905" xr:uid="{00000000-0005-0000-0000-00008E090000}"/>
    <cellStyle name="Comma 10 3 2" xfId="906" xr:uid="{00000000-0005-0000-0000-00008F090000}"/>
    <cellStyle name="Comma 10 3 2 2" xfId="907" xr:uid="{00000000-0005-0000-0000-000090090000}"/>
    <cellStyle name="Comma 10 3 3" xfId="908" xr:uid="{00000000-0005-0000-0000-000091090000}"/>
    <cellStyle name="Comma 10 3 4" xfId="909" xr:uid="{00000000-0005-0000-0000-000092090000}"/>
    <cellStyle name="Comma 10 3 5" xfId="910" xr:uid="{00000000-0005-0000-0000-000093090000}"/>
    <cellStyle name="Comma 10 3 6" xfId="911" xr:uid="{00000000-0005-0000-0000-000094090000}"/>
    <cellStyle name="Comma 10 4" xfId="912" xr:uid="{00000000-0005-0000-0000-000095090000}"/>
    <cellStyle name="Comma 10 4 10" xfId="6591" xr:uid="{00000000-0005-0000-0000-000096090000}"/>
    <cellStyle name="Comma 10 4 11" xfId="6592" xr:uid="{00000000-0005-0000-0000-000097090000}"/>
    <cellStyle name="Comma 10 4 2" xfId="913" xr:uid="{00000000-0005-0000-0000-000098090000}"/>
    <cellStyle name="Comma 10 4 2 2" xfId="914" xr:uid="{00000000-0005-0000-0000-000099090000}"/>
    <cellStyle name="Comma 10 4 3" xfId="915" xr:uid="{00000000-0005-0000-0000-00009A090000}"/>
    <cellStyle name="Comma 10 4 4" xfId="916" xr:uid="{00000000-0005-0000-0000-00009B090000}"/>
    <cellStyle name="Comma 10 4 5" xfId="6593" xr:uid="{00000000-0005-0000-0000-00009C090000}"/>
    <cellStyle name="Comma 10 4 6" xfId="6594" xr:uid="{00000000-0005-0000-0000-00009D090000}"/>
    <cellStyle name="Comma 10 4 7" xfId="6595" xr:uid="{00000000-0005-0000-0000-00009E090000}"/>
    <cellStyle name="Comma 10 4 8" xfId="6596" xr:uid="{00000000-0005-0000-0000-00009F090000}"/>
    <cellStyle name="Comma 10 4 9" xfId="6597" xr:uid="{00000000-0005-0000-0000-0000A0090000}"/>
    <cellStyle name="Comma 10 5" xfId="917" xr:uid="{00000000-0005-0000-0000-0000A1090000}"/>
    <cellStyle name="Comma 10 6" xfId="918" xr:uid="{00000000-0005-0000-0000-0000A2090000}"/>
    <cellStyle name="Comma 10 7" xfId="919" xr:uid="{00000000-0005-0000-0000-0000A3090000}"/>
    <cellStyle name="Comma 10 8" xfId="920" xr:uid="{00000000-0005-0000-0000-0000A4090000}"/>
    <cellStyle name="Comma 11" xfId="921" xr:uid="{00000000-0005-0000-0000-0000A5090000}"/>
    <cellStyle name="Comma 11 2" xfId="922" xr:uid="{00000000-0005-0000-0000-0000A6090000}"/>
    <cellStyle name="Comma 11 2 2" xfId="923" xr:uid="{00000000-0005-0000-0000-0000A7090000}"/>
    <cellStyle name="Comma 11 2 2 2" xfId="924" xr:uid="{00000000-0005-0000-0000-0000A8090000}"/>
    <cellStyle name="Comma 11 2 3" xfId="925" xr:uid="{00000000-0005-0000-0000-0000A9090000}"/>
    <cellStyle name="Comma 11 2 4" xfId="926" xr:uid="{00000000-0005-0000-0000-0000AA090000}"/>
    <cellStyle name="Comma 11 2 5" xfId="927" xr:uid="{00000000-0005-0000-0000-0000AB090000}"/>
    <cellStyle name="Comma 11 2 6" xfId="928" xr:uid="{00000000-0005-0000-0000-0000AC090000}"/>
    <cellStyle name="Comma 11 2 7" xfId="929" xr:uid="{00000000-0005-0000-0000-0000AD090000}"/>
    <cellStyle name="Comma 11 2 8" xfId="930" xr:uid="{00000000-0005-0000-0000-0000AE090000}"/>
    <cellStyle name="Comma 11 3" xfId="6598" xr:uid="{00000000-0005-0000-0000-0000AF090000}"/>
    <cellStyle name="Comma 11 4" xfId="6599" xr:uid="{00000000-0005-0000-0000-0000B0090000}"/>
    <cellStyle name="Comma 12" xfId="931" xr:uid="{00000000-0005-0000-0000-0000B1090000}"/>
    <cellStyle name="Comma 12 2" xfId="6600" xr:uid="{00000000-0005-0000-0000-0000B2090000}"/>
    <cellStyle name="Comma 12 3" xfId="6601" xr:uid="{00000000-0005-0000-0000-0000B3090000}"/>
    <cellStyle name="Comma 13" xfId="932" xr:uid="{00000000-0005-0000-0000-0000B4090000}"/>
    <cellStyle name="Comma 13 2" xfId="933" xr:uid="{00000000-0005-0000-0000-0000B5090000}"/>
    <cellStyle name="Comma 13 2 2" xfId="934" xr:uid="{00000000-0005-0000-0000-0000B6090000}"/>
    <cellStyle name="Comma 13 3" xfId="935" xr:uid="{00000000-0005-0000-0000-0000B7090000}"/>
    <cellStyle name="Comma 13 4" xfId="936" xr:uid="{00000000-0005-0000-0000-0000B8090000}"/>
    <cellStyle name="Comma 13 5" xfId="937" xr:uid="{00000000-0005-0000-0000-0000B9090000}"/>
    <cellStyle name="Comma 13 6" xfId="938" xr:uid="{00000000-0005-0000-0000-0000BA090000}"/>
    <cellStyle name="Comma 13 7" xfId="939" xr:uid="{00000000-0005-0000-0000-0000BB090000}"/>
    <cellStyle name="Comma 13 8" xfId="940" xr:uid="{00000000-0005-0000-0000-0000BC090000}"/>
    <cellStyle name="Comma 14" xfId="941" xr:uid="{00000000-0005-0000-0000-0000BD090000}"/>
    <cellStyle name="Comma 14 2" xfId="942" xr:uid="{00000000-0005-0000-0000-0000BE090000}"/>
    <cellStyle name="Comma 14 3" xfId="943" xr:uid="{00000000-0005-0000-0000-0000BF090000}"/>
    <cellStyle name="Comma 14 4" xfId="944" xr:uid="{00000000-0005-0000-0000-0000C0090000}"/>
    <cellStyle name="Comma 14 5" xfId="945" xr:uid="{00000000-0005-0000-0000-0000C1090000}"/>
    <cellStyle name="Comma 14 6" xfId="946" xr:uid="{00000000-0005-0000-0000-0000C2090000}"/>
    <cellStyle name="Comma 14 7" xfId="947" xr:uid="{00000000-0005-0000-0000-0000C3090000}"/>
    <cellStyle name="Comma 14 8" xfId="948" xr:uid="{00000000-0005-0000-0000-0000C4090000}"/>
    <cellStyle name="Comma 15" xfId="949" xr:uid="{00000000-0005-0000-0000-0000C5090000}"/>
    <cellStyle name="Comma 15 10" xfId="6602" xr:uid="{00000000-0005-0000-0000-0000C6090000}"/>
    <cellStyle name="Comma 15 11" xfId="6603" xr:uid="{00000000-0005-0000-0000-0000C7090000}"/>
    <cellStyle name="Comma 15 2" xfId="950" xr:uid="{00000000-0005-0000-0000-0000C8090000}"/>
    <cellStyle name="Comma 15 3" xfId="951" xr:uid="{00000000-0005-0000-0000-0000C9090000}"/>
    <cellStyle name="Comma 15 4" xfId="952" xr:uid="{00000000-0005-0000-0000-0000CA090000}"/>
    <cellStyle name="Comma 15 5" xfId="6604" xr:uid="{00000000-0005-0000-0000-0000CB090000}"/>
    <cellStyle name="Comma 15 6" xfId="6605" xr:uid="{00000000-0005-0000-0000-0000CC090000}"/>
    <cellStyle name="Comma 15 7" xfId="6606" xr:uid="{00000000-0005-0000-0000-0000CD090000}"/>
    <cellStyle name="Comma 15 8" xfId="6607" xr:uid="{00000000-0005-0000-0000-0000CE090000}"/>
    <cellStyle name="Comma 15 9" xfId="6608" xr:uid="{00000000-0005-0000-0000-0000CF090000}"/>
    <cellStyle name="Comma 16" xfId="953" xr:uid="{00000000-0005-0000-0000-0000D0090000}"/>
    <cellStyle name="Comma 16 10" xfId="6609" xr:uid="{00000000-0005-0000-0000-0000D1090000}"/>
    <cellStyle name="Comma 16 2" xfId="6610" xr:uid="{00000000-0005-0000-0000-0000D2090000}"/>
    <cellStyle name="Comma 16 2 2" xfId="6611" xr:uid="{00000000-0005-0000-0000-0000D3090000}"/>
    <cellStyle name="Comma 16 3" xfId="6612" xr:uid="{00000000-0005-0000-0000-0000D4090000}"/>
    <cellStyle name="Comma 16 4" xfId="6613" xr:uid="{00000000-0005-0000-0000-0000D5090000}"/>
    <cellStyle name="Comma 16 5" xfId="6614" xr:uid="{00000000-0005-0000-0000-0000D6090000}"/>
    <cellStyle name="Comma 16 6" xfId="6615" xr:uid="{00000000-0005-0000-0000-0000D7090000}"/>
    <cellStyle name="Comma 16 7" xfId="6616" xr:uid="{00000000-0005-0000-0000-0000D8090000}"/>
    <cellStyle name="Comma 16 8" xfId="6617" xr:uid="{00000000-0005-0000-0000-0000D9090000}"/>
    <cellStyle name="Comma 16 9" xfId="6618" xr:uid="{00000000-0005-0000-0000-0000DA090000}"/>
    <cellStyle name="Comma 2" xfId="954" xr:uid="{00000000-0005-0000-0000-0000DB090000}"/>
    <cellStyle name="Comma 2 10" xfId="955" xr:uid="{00000000-0005-0000-0000-0000DC090000}"/>
    <cellStyle name="Comma 2 10 2" xfId="6619" xr:uid="{00000000-0005-0000-0000-0000DD090000}"/>
    <cellStyle name="Comma 2 10 3" xfId="6620" xr:uid="{00000000-0005-0000-0000-0000DE090000}"/>
    <cellStyle name="Comma 2 10 4" xfId="6621" xr:uid="{00000000-0005-0000-0000-0000DF090000}"/>
    <cellStyle name="Comma 2 11" xfId="956" xr:uid="{00000000-0005-0000-0000-0000E0090000}"/>
    <cellStyle name="Comma 2 11 2" xfId="6622" xr:uid="{00000000-0005-0000-0000-0000E1090000}"/>
    <cellStyle name="Comma 2 11 3" xfId="6623" xr:uid="{00000000-0005-0000-0000-0000E2090000}"/>
    <cellStyle name="Comma 2 11 4" xfId="6624" xr:uid="{00000000-0005-0000-0000-0000E3090000}"/>
    <cellStyle name="Comma 2 12" xfId="957" xr:uid="{00000000-0005-0000-0000-0000E4090000}"/>
    <cellStyle name="Comma 2 12 2" xfId="6625" xr:uid="{00000000-0005-0000-0000-0000E5090000}"/>
    <cellStyle name="Comma 2 12 3" xfId="6626" xr:uid="{00000000-0005-0000-0000-0000E6090000}"/>
    <cellStyle name="Comma 2 12 4" xfId="6627" xr:uid="{00000000-0005-0000-0000-0000E7090000}"/>
    <cellStyle name="Comma 2 13" xfId="958" xr:uid="{00000000-0005-0000-0000-0000E8090000}"/>
    <cellStyle name="Comma 2 13 2" xfId="6628" xr:uid="{00000000-0005-0000-0000-0000E9090000}"/>
    <cellStyle name="Comma 2 13 3" xfId="6629" xr:uid="{00000000-0005-0000-0000-0000EA090000}"/>
    <cellStyle name="Comma 2 13 4" xfId="6630" xr:uid="{00000000-0005-0000-0000-0000EB090000}"/>
    <cellStyle name="Comma 2 14" xfId="959" xr:uid="{00000000-0005-0000-0000-0000EC090000}"/>
    <cellStyle name="Comma 2 14 2" xfId="6631" xr:uid="{00000000-0005-0000-0000-0000ED090000}"/>
    <cellStyle name="Comma 2 14 3" xfId="6632" xr:uid="{00000000-0005-0000-0000-0000EE090000}"/>
    <cellStyle name="Comma 2 15" xfId="960" xr:uid="{00000000-0005-0000-0000-0000EF090000}"/>
    <cellStyle name="Comma 2 15 2" xfId="6633" xr:uid="{00000000-0005-0000-0000-0000F0090000}"/>
    <cellStyle name="Comma 2 15 3" xfId="6634" xr:uid="{00000000-0005-0000-0000-0000F1090000}"/>
    <cellStyle name="Comma 2 16" xfId="961" xr:uid="{00000000-0005-0000-0000-0000F2090000}"/>
    <cellStyle name="Comma 2 16 2" xfId="6635" xr:uid="{00000000-0005-0000-0000-0000F3090000}"/>
    <cellStyle name="Comma 2 16 3" xfId="6636" xr:uid="{00000000-0005-0000-0000-0000F4090000}"/>
    <cellStyle name="Comma 2 17" xfId="6637" xr:uid="{00000000-0005-0000-0000-0000F5090000}"/>
    <cellStyle name="Comma 2 17 2" xfId="6638" xr:uid="{00000000-0005-0000-0000-0000F6090000}"/>
    <cellStyle name="Comma 2 17 3" xfId="6639" xr:uid="{00000000-0005-0000-0000-0000F7090000}"/>
    <cellStyle name="Comma 2 18" xfId="6640" xr:uid="{00000000-0005-0000-0000-0000F8090000}"/>
    <cellStyle name="Comma 2 18 2" xfId="6641" xr:uid="{00000000-0005-0000-0000-0000F9090000}"/>
    <cellStyle name="Comma 2 18 3" xfId="6642" xr:uid="{00000000-0005-0000-0000-0000FA090000}"/>
    <cellStyle name="Comma 2 19" xfId="6643" xr:uid="{00000000-0005-0000-0000-0000FB090000}"/>
    <cellStyle name="Comma 2 19 2" xfId="6644" xr:uid="{00000000-0005-0000-0000-0000FC090000}"/>
    <cellStyle name="Comma 2 19 3" xfId="6645" xr:uid="{00000000-0005-0000-0000-0000FD090000}"/>
    <cellStyle name="Comma 2 2" xfId="962" xr:uid="{00000000-0005-0000-0000-0000FE090000}"/>
    <cellStyle name="Comma 2 2 10" xfId="6646" xr:uid="{00000000-0005-0000-0000-0000FF090000}"/>
    <cellStyle name="Comma 2 2 11" xfId="6647" xr:uid="{00000000-0005-0000-0000-0000000A0000}"/>
    <cellStyle name="Comma 2 2 12" xfId="6648" xr:uid="{00000000-0005-0000-0000-0000010A0000}"/>
    <cellStyle name="Comma 2 2 13" xfId="6649" xr:uid="{00000000-0005-0000-0000-0000020A0000}"/>
    <cellStyle name="Comma 2 2 14" xfId="6650" xr:uid="{00000000-0005-0000-0000-0000030A0000}"/>
    <cellStyle name="Comma 2 2 15" xfId="6651" xr:uid="{00000000-0005-0000-0000-0000040A0000}"/>
    <cellStyle name="Comma 2 2 16" xfId="6652" xr:uid="{00000000-0005-0000-0000-0000050A0000}"/>
    <cellStyle name="Comma 2 2 17" xfId="6653" xr:uid="{00000000-0005-0000-0000-0000060A0000}"/>
    <cellStyle name="Comma 2 2 18" xfId="6654" xr:uid="{00000000-0005-0000-0000-0000070A0000}"/>
    <cellStyle name="Comma 2 2 18 2" xfId="6655" xr:uid="{00000000-0005-0000-0000-0000080A0000}"/>
    <cellStyle name="Comma 2 2 18 3" xfId="6656" xr:uid="{00000000-0005-0000-0000-0000090A0000}"/>
    <cellStyle name="Comma 2 2 19" xfId="6657" xr:uid="{00000000-0005-0000-0000-00000A0A0000}"/>
    <cellStyle name="Comma 2 2 19 2" xfId="6658" xr:uid="{00000000-0005-0000-0000-00000B0A0000}"/>
    <cellStyle name="Comma 2 2 19 2 2" xfId="6659" xr:uid="{00000000-0005-0000-0000-00000C0A0000}"/>
    <cellStyle name="Comma 2 2 2" xfId="963" xr:uid="{00000000-0005-0000-0000-00000D0A0000}"/>
    <cellStyle name="Comma 2 2 2 10" xfId="6660" xr:uid="{00000000-0005-0000-0000-00000E0A0000}"/>
    <cellStyle name="Comma 2 2 2 11" xfId="6661" xr:uid="{00000000-0005-0000-0000-00000F0A0000}"/>
    <cellStyle name="Comma 2 2 2 12" xfId="6662" xr:uid="{00000000-0005-0000-0000-0000100A0000}"/>
    <cellStyle name="Comma 2 2 2 13" xfId="6663" xr:uid="{00000000-0005-0000-0000-0000110A0000}"/>
    <cellStyle name="Comma 2 2 2 14" xfId="6664" xr:uid="{00000000-0005-0000-0000-0000120A0000}"/>
    <cellStyle name="Comma 2 2 2 15" xfId="6665" xr:uid="{00000000-0005-0000-0000-0000130A0000}"/>
    <cellStyle name="Comma 2 2 2 16" xfId="6666" xr:uid="{00000000-0005-0000-0000-0000140A0000}"/>
    <cellStyle name="Comma 2 2 2 17" xfId="6667" xr:uid="{00000000-0005-0000-0000-0000150A0000}"/>
    <cellStyle name="Comma 2 2 2 18" xfId="6668" xr:uid="{00000000-0005-0000-0000-0000160A0000}"/>
    <cellStyle name="Comma 2 2 2 18 2" xfId="6669" xr:uid="{00000000-0005-0000-0000-0000170A0000}"/>
    <cellStyle name="Comma 2 2 2 18 2 2" xfId="6670" xr:uid="{00000000-0005-0000-0000-0000180A0000}"/>
    <cellStyle name="Comma 2 2 2 19" xfId="6671" xr:uid="{00000000-0005-0000-0000-0000190A0000}"/>
    <cellStyle name="Comma 2 2 2 2" xfId="6672" xr:uid="{00000000-0005-0000-0000-00001A0A0000}"/>
    <cellStyle name="Comma 2 2 2 2 2" xfId="6673" xr:uid="{00000000-0005-0000-0000-00001B0A0000}"/>
    <cellStyle name="Comma 2 2 2 2 2 2" xfId="6674" xr:uid="{00000000-0005-0000-0000-00001C0A0000}"/>
    <cellStyle name="Comma 2 2 2 2 2 2 2" xfId="6675" xr:uid="{00000000-0005-0000-0000-00001D0A0000}"/>
    <cellStyle name="Comma 2 2 2 2 2 2 2 2" xfId="6676" xr:uid="{00000000-0005-0000-0000-00001E0A0000}"/>
    <cellStyle name="Comma 2 2 2 2 3" xfId="6677" xr:uid="{00000000-0005-0000-0000-00001F0A0000}"/>
    <cellStyle name="Comma 2 2 2 2 4" xfId="6678" xr:uid="{00000000-0005-0000-0000-0000200A0000}"/>
    <cellStyle name="Comma 2 2 2 20" xfId="6679" xr:uid="{00000000-0005-0000-0000-0000210A0000}"/>
    <cellStyle name="Comma 2 2 2 3" xfId="6680" xr:uid="{00000000-0005-0000-0000-0000220A0000}"/>
    <cellStyle name="Comma 2 2 2 4" xfId="6681" xr:uid="{00000000-0005-0000-0000-0000230A0000}"/>
    <cellStyle name="Comma 2 2 2 5" xfId="6682" xr:uid="{00000000-0005-0000-0000-0000240A0000}"/>
    <cellStyle name="Comma 2 2 2 6" xfId="6683" xr:uid="{00000000-0005-0000-0000-0000250A0000}"/>
    <cellStyle name="Comma 2 2 2 7" xfId="6684" xr:uid="{00000000-0005-0000-0000-0000260A0000}"/>
    <cellStyle name="Comma 2 2 2 8" xfId="6685" xr:uid="{00000000-0005-0000-0000-0000270A0000}"/>
    <cellStyle name="Comma 2 2 2 9" xfId="6686" xr:uid="{00000000-0005-0000-0000-0000280A0000}"/>
    <cellStyle name="Comma 2 2 20" xfId="6687" xr:uid="{00000000-0005-0000-0000-0000290A0000}"/>
    <cellStyle name="Comma 2 2 3" xfId="964" xr:uid="{00000000-0005-0000-0000-00002A0A0000}"/>
    <cellStyle name="Comma 2 2 3 2" xfId="965" xr:uid="{00000000-0005-0000-0000-00002B0A0000}"/>
    <cellStyle name="Comma 2 2 3 2 2" xfId="6688" xr:uid="{00000000-0005-0000-0000-00002C0A0000}"/>
    <cellStyle name="Comma 2 2 3 2 2 2" xfId="6689" xr:uid="{00000000-0005-0000-0000-00002D0A0000}"/>
    <cellStyle name="Comma 2 2 3 2 3" xfId="6690" xr:uid="{00000000-0005-0000-0000-00002E0A0000}"/>
    <cellStyle name="Comma 2 2 3 3" xfId="6691" xr:uid="{00000000-0005-0000-0000-00002F0A0000}"/>
    <cellStyle name="Comma 2 2 3 4" xfId="6692" xr:uid="{00000000-0005-0000-0000-0000300A0000}"/>
    <cellStyle name="Comma 2 2 4" xfId="966" xr:uid="{00000000-0005-0000-0000-0000310A0000}"/>
    <cellStyle name="Comma 2 2 4 2" xfId="6693" xr:uid="{00000000-0005-0000-0000-0000320A0000}"/>
    <cellStyle name="Comma 2 2 5" xfId="967" xr:uid="{00000000-0005-0000-0000-0000330A0000}"/>
    <cellStyle name="Comma 2 2 6" xfId="968" xr:uid="{00000000-0005-0000-0000-0000340A0000}"/>
    <cellStyle name="Comma 2 2 7" xfId="969" xr:uid="{00000000-0005-0000-0000-0000350A0000}"/>
    <cellStyle name="Comma 2 2 8" xfId="6694" xr:uid="{00000000-0005-0000-0000-0000360A0000}"/>
    <cellStyle name="Comma 2 2 9" xfId="6695" xr:uid="{00000000-0005-0000-0000-0000370A0000}"/>
    <cellStyle name="Comma 2 20" xfId="6696" xr:uid="{00000000-0005-0000-0000-0000380A0000}"/>
    <cellStyle name="Comma 2 20 2" xfId="6697" xr:uid="{00000000-0005-0000-0000-0000390A0000}"/>
    <cellStyle name="Comma 2 20 3" xfId="6698" xr:uid="{00000000-0005-0000-0000-00003A0A0000}"/>
    <cellStyle name="Comma 2 21" xfId="6699" xr:uid="{00000000-0005-0000-0000-00003B0A0000}"/>
    <cellStyle name="Comma 2 21 2" xfId="6700" xr:uid="{00000000-0005-0000-0000-00003C0A0000}"/>
    <cellStyle name="Comma 2 21 2 2" xfId="6701" xr:uid="{00000000-0005-0000-0000-00003D0A0000}"/>
    <cellStyle name="Comma 2 22" xfId="6702" xr:uid="{00000000-0005-0000-0000-00003E0A0000}"/>
    <cellStyle name="Comma 2 23" xfId="6703" xr:uid="{00000000-0005-0000-0000-00003F0A0000}"/>
    <cellStyle name="Comma 2 24" xfId="6704" xr:uid="{00000000-0005-0000-0000-0000400A0000}"/>
    <cellStyle name="Comma 2 25" xfId="6705" xr:uid="{00000000-0005-0000-0000-0000410A0000}"/>
    <cellStyle name="Comma 2 26" xfId="6706" xr:uid="{00000000-0005-0000-0000-0000420A0000}"/>
    <cellStyle name="Comma 2 27" xfId="6707" xr:uid="{00000000-0005-0000-0000-0000430A0000}"/>
    <cellStyle name="Comma 2 28" xfId="6708" xr:uid="{00000000-0005-0000-0000-0000440A0000}"/>
    <cellStyle name="Comma 2 29" xfId="6709" xr:uid="{00000000-0005-0000-0000-0000450A0000}"/>
    <cellStyle name="Comma 2 3" xfId="970" xr:uid="{00000000-0005-0000-0000-0000460A0000}"/>
    <cellStyle name="Comma 2 3 10" xfId="6710" xr:uid="{00000000-0005-0000-0000-0000470A0000}"/>
    <cellStyle name="Comma 2 3 11" xfId="6711" xr:uid="{00000000-0005-0000-0000-0000480A0000}"/>
    <cellStyle name="Comma 2 3 12" xfId="6712" xr:uid="{00000000-0005-0000-0000-0000490A0000}"/>
    <cellStyle name="Comma 2 3 13" xfId="6713" xr:uid="{00000000-0005-0000-0000-00004A0A0000}"/>
    <cellStyle name="Comma 2 3 14" xfId="6714" xr:uid="{00000000-0005-0000-0000-00004B0A0000}"/>
    <cellStyle name="Comma 2 3 15" xfId="6715" xr:uid="{00000000-0005-0000-0000-00004C0A0000}"/>
    <cellStyle name="Comma 2 3 16" xfId="6716" xr:uid="{00000000-0005-0000-0000-00004D0A0000}"/>
    <cellStyle name="Comma 2 3 17" xfId="6717" xr:uid="{00000000-0005-0000-0000-00004E0A0000}"/>
    <cellStyle name="Comma 2 3 18" xfId="6718" xr:uid="{00000000-0005-0000-0000-00004F0A0000}"/>
    <cellStyle name="Comma 2 3 19" xfId="6719" xr:uid="{00000000-0005-0000-0000-0000500A0000}"/>
    <cellStyle name="Comma 2 3 2" xfId="6720" xr:uid="{00000000-0005-0000-0000-0000510A0000}"/>
    <cellStyle name="Comma 2 3 2 2" xfId="6721" xr:uid="{00000000-0005-0000-0000-0000520A0000}"/>
    <cellStyle name="Comma 2 3 2 2 2" xfId="6722" xr:uid="{00000000-0005-0000-0000-0000530A0000}"/>
    <cellStyle name="Comma 2 3 2 2 2 2" xfId="6723" xr:uid="{00000000-0005-0000-0000-0000540A0000}"/>
    <cellStyle name="Comma 2 3 2 3" xfId="6724" xr:uid="{00000000-0005-0000-0000-0000550A0000}"/>
    <cellStyle name="Comma 2 3 2 4" xfId="6725" xr:uid="{00000000-0005-0000-0000-0000560A0000}"/>
    <cellStyle name="Comma 2 3 20" xfId="6726" xr:uid="{00000000-0005-0000-0000-0000570A0000}"/>
    <cellStyle name="Comma 2 3 20 2" xfId="6727" xr:uid="{00000000-0005-0000-0000-0000580A0000}"/>
    <cellStyle name="Comma 2 3 20 2 2" xfId="6728" xr:uid="{00000000-0005-0000-0000-0000590A0000}"/>
    <cellStyle name="Comma 2 3 21" xfId="6729" xr:uid="{00000000-0005-0000-0000-00005A0A0000}"/>
    <cellStyle name="Comma 2 3 3" xfId="6730" xr:uid="{00000000-0005-0000-0000-00005B0A0000}"/>
    <cellStyle name="Comma 2 3 4" xfId="6731" xr:uid="{00000000-0005-0000-0000-00005C0A0000}"/>
    <cellStyle name="Comma 2 3 5" xfId="6732" xr:uid="{00000000-0005-0000-0000-00005D0A0000}"/>
    <cellStyle name="Comma 2 3 6" xfId="6733" xr:uid="{00000000-0005-0000-0000-00005E0A0000}"/>
    <cellStyle name="Comma 2 3 7" xfId="6734" xr:uid="{00000000-0005-0000-0000-00005F0A0000}"/>
    <cellStyle name="Comma 2 3 8" xfId="6735" xr:uid="{00000000-0005-0000-0000-0000600A0000}"/>
    <cellStyle name="Comma 2 3 9" xfId="6736" xr:uid="{00000000-0005-0000-0000-0000610A0000}"/>
    <cellStyle name="Comma 2 4" xfId="971" xr:uid="{00000000-0005-0000-0000-0000620A0000}"/>
    <cellStyle name="Comma 2 4 10" xfId="6737" xr:uid="{00000000-0005-0000-0000-0000630A0000}"/>
    <cellStyle name="Comma 2 4 11" xfId="6738" xr:uid="{00000000-0005-0000-0000-0000640A0000}"/>
    <cellStyle name="Comma 2 4 12" xfId="6739" xr:uid="{00000000-0005-0000-0000-0000650A0000}"/>
    <cellStyle name="Comma 2 4 2" xfId="972" xr:uid="{00000000-0005-0000-0000-0000660A0000}"/>
    <cellStyle name="Comma 2 4 2 10" xfId="6740" xr:uid="{00000000-0005-0000-0000-0000670A0000}"/>
    <cellStyle name="Comma 2 4 2 2" xfId="6741" xr:uid="{00000000-0005-0000-0000-0000680A0000}"/>
    <cellStyle name="Comma 2 4 2 3" xfId="6742" xr:uid="{00000000-0005-0000-0000-0000690A0000}"/>
    <cellStyle name="Comma 2 4 2 4" xfId="6743" xr:uid="{00000000-0005-0000-0000-00006A0A0000}"/>
    <cellStyle name="Comma 2 4 2 5" xfId="6744" xr:uid="{00000000-0005-0000-0000-00006B0A0000}"/>
    <cellStyle name="Comma 2 4 2 6" xfId="6745" xr:uid="{00000000-0005-0000-0000-00006C0A0000}"/>
    <cellStyle name="Comma 2 4 2 7" xfId="6746" xr:uid="{00000000-0005-0000-0000-00006D0A0000}"/>
    <cellStyle name="Comma 2 4 2 8" xfId="6747" xr:uid="{00000000-0005-0000-0000-00006E0A0000}"/>
    <cellStyle name="Comma 2 4 2 9" xfId="6748" xr:uid="{00000000-0005-0000-0000-00006F0A0000}"/>
    <cellStyle name="Comma 2 4 3" xfId="6749" xr:uid="{00000000-0005-0000-0000-0000700A0000}"/>
    <cellStyle name="Comma 2 4 3 2" xfId="6750" xr:uid="{00000000-0005-0000-0000-0000710A0000}"/>
    <cellStyle name="Comma 2 4 3 2 2" xfId="6751" xr:uid="{00000000-0005-0000-0000-0000720A0000}"/>
    <cellStyle name="Comma 2 4 4" xfId="6752" xr:uid="{00000000-0005-0000-0000-0000730A0000}"/>
    <cellStyle name="Comma 2 4 5" xfId="6753" xr:uid="{00000000-0005-0000-0000-0000740A0000}"/>
    <cellStyle name="Comma 2 4 6" xfId="6754" xr:uid="{00000000-0005-0000-0000-0000750A0000}"/>
    <cellStyle name="Comma 2 4 7" xfId="6755" xr:uid="{00000000-0005-0000-0000-0000760A0000}"/>
    <cellStyle name="Comma 2 4 8" xfId="6756" xr:uid="{00000000-0005-0000-0000-0000770A0000}"/>
    <cellStyle name="Comma 2 4 9" xfId="6757" xr:uid="{00000000-0005-0000-0000-0000780A0000}"/>
    <cellStyle name="Comma 2 5" xfId="973" xr:uid="{00000000-0005-0000-0000-0000790A0000}"/>
    <cellStyle name="Comma 2 5 2" xfId="974" xr:uid="{00000000-0005-0000-0000-00007A0A0000}"/>
    <cellStyle name="Comma 2 5 2 2" xfId="6758" xr:uid="{00000000-0005-0000-0000-00007B0A0000}"/>
    <cellStyle name="Comma 2 5 3" xfId="6759" xr:uid="{00000000-0005-0000-0000-00007C0A0000}"/>
    <cellStyle name="Comma 2 5 4" xfId="6760" xr:uid="{00000000-0005-0000-0000-00007D0A0000}"/>
    <cellStyle name="Comma 2 6" xfId="975" xr:uid="{00000000-0005-0000-0000-00007E0A0000}"/>
    <cellStyle name="Comma 2 6 2" xfId="6761" xr:uid="{00000000-0005-0000-0000-00007F0A0000}"/>
    <cellStyle name="Comma 2 6 3" xfId="6762" xr:uid="{00000000-0005-0000-0000-0000800A0000}"/>
    <cellStyle name="Comma 2 7" xfId="976" xr:uid="{00000000-0005-0000-0000-0000810A0000}"/>
    <cellStyle name="Comma 2 7 2" xfId="6763" xr:uid="{00000000-0005-0000-0000-0000820A0000}"/>
    <cellStyle name="Comma 2 7 3" xfId="6764" xr:uid="{00000000-0005-0000-0000-0000830A0000}"/>
    <cellStyle name="Comma 2 8" xfId="977" xr:uid="{00000000-0005-0000-0000-0000840A0000}"/>
    <cellStyle name="Comma 2 8 2" xfId="6765" xr:uid="{00000000-0005-0000-0000-0000850A0000}"/>
    <cellStyle name="Comma 2 8 3" xfId="6766" xr:uid="{00000000-0005-0000-0000-0000860A0000}"/>
    <cellStyle name="Comma 2 9" xfId="978" xr:uid="{00000000-0005-0000-0000-0000870A0000}"/>
    <cellStyle name="Comma 2 9 2" xfId="6767" xr:uid="{00000000-0005-0000-0000-0000880A0000}"/>
    <cellStyle name="Comma 2 9 3" xfId="6768" xr:uid="{00000000-0005-0000-0000-0000890A0000}"/>
    <cellStyle name="Comma 2 9 4" xfId="6769" xr:uid="{00000000-0005-0000-0000-00008A0A0000}"/>
    <cellStyle name="Comma 2_ პროექტის ბიუჯეტი" xfId="979" xr:uid="{00000000-0005-0000-0000-00008B0A0000}"/>
    <cellStyle name="Comma 3" xfId="980" xr:uid="{00000000-0005-0000-0000-00008C0A0000}"/>
    <cellStyle name="Comma 3 10" xfId="981" xr:uid="{00000000-0005-0000-0000-00008D0A0000}"/>
    <cellStyle name="Comma 3 10 2" xfId="6770" xr:uid="{00000000-0005-0000-0000-00008E0A0000}"/>
    <cellStyle name="Comma 3 11" xfId="982" xr:uid="{00000000-0005-0000-0000-00008F0A0000}"/>
    <cellStyle name="Comma 3 11 2" xfId="6771" xr:uid="{00000000-0005-0000-0000-0000900A0000}"/>
    <cellStyle name="Comma 3 11 3" xfId="6772" xr:uid="{00000000-0005-0000-0000-0000910A0000}"/>
    <cellStyle name="Comma 3 12" xfId="983" xr:uid="{00000000-0005-0000-0000-0000920A0000}"/>
    <cellStyle name="Comma 3 12 2" xfId="6773" xr:uid="{00000000-0005-0000-0000-0000930A0000}"/>
    <cellStyle name="Comma 3 12 3" xfId="6774" xr:uid="{00000000-0005-0000-0000-0000940A0000}"/>
    <cellStyle name="Comma 3 13" xfId="984" xr:uid="{00000000-0005-0000-0000-0000950A0000}"/>
    <cellStyle name="Comma 3 13 2" xfId="6775" xr:uid="{00000000-0005-0000-0000-0000960A0000}"/>
    <cellStyle name="Comma 3 13 3" xfId="6776" xr:uid="{00000000-0005-0000-0000-0000970A0000}"/>
    <cellStyle name="Comma 3 14" xfId="985" xr:uid="{00000000-0005-0000-0000-0000980A0000}"/>
    <cellStyle name="Comma 3 14 2" xfId="6777" xr:uid="{00000000-0005-0000-0000-0000990A0000}"/>
    <cellStyle name="Comma 3 14 3" xfId="6778" xr:uid="{00000000-0005-0000-0000-00009A0A0000}"/>
    <cellStyle name="Comma 3 15" xfId="986" xr:uid="{00000000-0005-0000-0000-00009B0A0000}"/>
    <cellStyle name="Comma 3 15 2" xfId="6779" xr:uid="{00000000-0005-0000-0000-00009C0A0000}"/>
    <cellStyle name="Comma 3 15 3" xfId="6780" xr:uid="{00000000-0005-0000-0000-00009D0A0000}"/>
    <cellStyle name="Comma 3 16" xfId="987" xr:uid="{00000000-0005-0000-0000-00009E0A0000}"/>
    <cellStyle name="Comma 3 16 2" xfId="6781" xr:uid="{00000000-0005-0000-0000-00009F0A0000}"/>
    <cellStyle name="Comma 3 17" xfId="988" xr:uid="{00000000-0005-0000-0000-0000A00A0000}"/>
    <cellStyle name="Comma 3 17 2" xfId="6782" xr:uid="{00000000-0005-0000-0000-0000A10A0000}"/>
    <cellStyle name="Comma 3 18" xfId="989" xr:uid="{00000000-0005-0000-0000-0000A20A0000}"/>
    <cellStyle name="Comma 3 18 2" xfId="6783" xr:uid="{00000000-0005-0000-0000-0000A30A0000}"/>
    <cellStyle name="Comma 3 19" xfId="6784" xr:uid="{00000000-0005-0000-0000-0000A40A0000}"/>
    <cellStyle name="Comma 3 19 2" xfId="6785" xr:uid="{00000000-0005-0000-0000-0000A50A0000}"/>
    <cellStyle name="Comma 3 2" xfId="990" xr:uid="{00000000-0005-0000-0000-0000A60A0000}"/>
    <cellStyle name="Comma 3 2 10" xfId="6786" xr:uid="{00000000-0005-0000-0000-0000A70A0000}"/>
    <cellStyle name="Comma 3 2 11" xfId="6787" xr:uid="{00000000-0005-0000-0000-0000A80A0000}"/>
    <cellStyle name="Comma 3 2 12" xfId="6788" xr:uid="{00000000-0005-0000-0000-0000A90A0000}"/>
    <cellStyle name="Comma 3 2 13" xfId="6789" xr:uid="{00000000-0005-0000-0000-0000AA0A0000}"/>
    <cellStyle name="Comma 3 2 14" xfId="6790" xr:uid="{00000000-0005-0000-0000-0000AB0A0000}"/>
    <cellStyle name="Comma 3 2 15" xfId="6791" xr:uid="{00000000-0005-0000-0000-0000AC0A0000}"/>
    <cellStyle name="Comma 3 2 16" xfId="6792" xr:uid="{00000000-0005-0000-0000-0000AD0A0000}"/>
    <cellStyle name="Comma 3 2 17" xfId="6793" xr:uid="{00000000-0005-0000-0000-0000AE0A0000}"/>
    <cellStyle name="Comma 3 2 18" xfId="6794" xr:uid="{00000000-0005-0000-0000-0000AF0A0000}"/>
    <cellStyle name="Comma 3 2 19" xfId="6795" xr:uid="{00000000-0005-0000-0000-0000B00A0000}"/>
    <cellStyle name="Comma 3 2 19 2" xfId="6796" xr:uid="{00000000-0005-0000-0000-0000B10A0000}"/>
    <cellStyle name="Comma 3 2 19 2 2" xfId="6797" xr:uid="{00000000-0005-0000-0000-0000B20A0000}"/>
    <cellStyle name="Comma 3 2 2" xfId="991" xr:uid="{00000000-0005-0000-0000-0000B30A0000}"/>
    <cellStyle name="Comma 3 2 2 10" xfId="992" xr:uid="{00000000-0005-0000-0000-0000B40A0000}"/>
    <cellStyle name="Comma 3 2 2 11" xfId="6798" xr:uid="{00000000-0005-0000-0000-0000B50A0000}"/>
    <cellStyle name="Comma 3 2 2 12" xfId="6799" xr:uid="{00000000-0005-0000-0000-0000B60A0000}"/>
    <cellStyle name="Comma 3 2 2 13" xfId="6800" xr:uid="{00000000-0005-0000-0000-0000B70A0000}"/>
    <cellStyle name="Comma 3 2 2 14" xfId="6801" xr:uid="{00000000-0005-0000-0000-0000B80A0000}"/>
    <cellStyle name="Comma 3 2 2 15" xfId="6802" xr:uid="{00000000-0005-0000-0000-0000B90A0000}"/>
    <cellStyle name="Comma 3 2 2 16" xfId="6803" xr:uid="{00000000-0005-0000-0000-0000BA0A0000}"/>
    <cellStyle name="Comma 3 2 2 17" xfId="6804" xr:uid="{00000000-0005-0000-0000-0000BB0A0000}"/>
    <cellStyle name="Comma 3 2 2 18" xfId="6805" xr:uid="{00000000-0005-0000-0000-0000BC0A0000}"/>
    <cellStyle name="Comma 3 2 2 19" xfId="6806" xr:uid="{00000000-0005-0000-0000-0000BD0A0000}"/>
    <cellStyle name="Comma 3 2 2 19 2" xfId="6807" xr:uid="{00000000-0005-0000-0000-0000BE0A0000}"/>
    <cellStyle name="Comma 3 2 2 19 2 2" xfId="6808" xr:uid="{00000000-0005-0000-0000-0000BF0A0000}"/>
    <cellStyle name="Comma 3 2 2 2" xfId="993" xr:uid="{00000000-0005-0000-0000-0000C00A0000}"/>
    <cellStyle name="Comma 3 2 2 2 2" xfId="6809" xr:uid="{00000000-0005-0000-0000-0000C10A0000}"/>
    <cellStyle name="Comma 3 2 2 2 2 2" xfId="6810" xr:uid="{00000000-0005-0000-0000-0000C20A0000}"/>
    <cellStyle name="Comma 3 2 2 2 2 2 2" xfId="6811" xr:uid="{00000000-0005-0000-0000-0000C30A0000}"/>
    <cellStyle name="Comma 3 2 2 2 3" xfId="6812" xr:uid="{00000000-0005-0000-0000-0000C40A0000}"/>
    <cellStyle name="Comma 3 2 2 2 4" xfId="6813" xr:uid="{00000000-0005-0000-0000-0000C50A0000}"/>
    <cellStyle name="Comma 3 2 2 2 5" xfId="6814" xr:uid="{00000000-0005-0000-0000-0000C60A0000}"/>
    <cellStyle name="Comma 3 2 2 20" xfId="6815" xr:uid="{00000000-0005-0000-0000-0000C70A0000}"/>
    <cellStyle name="Comma 3 2 2 3" xfId="994" xr:uid="{00000000-0005-0000-0000-0000C80A0000}"/>
    <cellStyle name="Comma 3 2 2 4" xfId="995" xr:uid="{00000000-0005-0000-0000-0000C90A0000}"/>
    <cellStyle name="Comma 3 2 2 5" xfId="996" xr:uid="{00000000-0005-0000-0000-0000CA0A0000}"/>
    <cellStyle name="Comma 3 2 2 6" xfId="997" xr:uid="{00000000-0005-0000-0000-0000CB0A0000}"/>
    <cellStyle name="Comma 3 2 2 7" xfId="998" xr:uid="{00000000-0005-0000-0000-0000CC0A0000}"/>
    <cellStyle name="Comma 3 2 2 8" xfId="999" xr:uid="{00000000-0005-0000-0000-0000CD0A0000}"/>
    <cellStyle name="Comma 3 2 2 9" xfId="1000" xr:uid="{00000000-0005-0000-0000-0000CE0A0000}"/>
    <cellStyle name="Comma 3 2 20" xfId="6816" xr:uid="{00000000-0005-0000-0000-0000CF0A0000}"/>
    <cellStyle name="Comma 3 2 3" xfId="1001" xr:uid="{00000000-0005-0000-0000-0000D00A0000}"/>
    <cellStyle name="Comma 3 2 3 2" xfId="6817" xr:uid="{00000000-0005-0000-0000-0000D10A0000}"/>
    <cellStyle name="Comma 3 2 3 2 2" xfId="6818" xr:uid="{00000000-0005-0000-0000-0000D20A0000}"/>
    <cellStyle name="Comma 3 2 3 2 2 2" xfId="6819" xr:uid="{00000000-0005-0000-0000-0000D30A0000}"/>
    <cellStyle name="Comma 3 2 3 3" xfId="6820" xr:uid="{00000000-0005-0000-0000-0000D40A0000}"/>
    <cellStyle name="Comma 3 2 3 4" xfId="6821" xr:uid="{00000000-0005-0000-0000-0000D50A0000}"/>
    <cellStyle name="Comma 3 2 3 5" xfId="6822" xr:uid="{00000000-0005-0000-0000-0000D60A0000}"/>
    <cellStyle name="Comma 3 2 4" xfId="1002" xr:uid="{00000000-0005-0000-0000-0000D70A0000}"/>
    <cellStyle name="Comma 3 2 5" xfId="6823" xr:uid="{00000000-0005-0000-0000-0000D80A0000}"/>
    <cellStyle name="Comma 3 2 6" xfId="6824" xr:uid="{00000000-0005-0000-0000-0000D90A0000}"/>
    <cellStyle name="Comma 3 2 7" xfId="6825" xr:uid="{00000000-0005-0000-0000-0000DA0A0000}"/>
    <cellStyle name="Comma 3 2 8" xfId="6826" xr:uid="{00000000-0005-0000-0000-0000DB0A0000}"/>
    <cellStyle name="Comma 3 2 9" xfId="6827" xr:uid="{00000000-0005-0000-0000-0000DC0A0000}"/>
    <cellStyle name="Comma 3 20" xfId="6828" xr:uid="{00000000-0005-0000-0000-0000DD0A0000}"/>
    <cellStyle name="Comma 3 20 2" xfId="6829" xr:uid="{00000000-0005-0000-0000-0000DE0A0000}"/>
    <cellStyle name="Comma 3 21" xfId="6830" xr:uid="{00000000-0005-0000-0000-0000DF0A0000}"/>
    <cellStyle name="Comma 3 22" xfId="6831" xr:uid="{00000000-0005-0000-0000-0000E00A0000}"/>
    <cellStyle name="Comma 3 23" xfId="6832" xr:uid="{00000000-0005-0000-0000-0000E10A0000}"/>
    <cellStyle name="Comma 3 24" xfId="6833" xr:uid="{00000000-0005-0000-0000-0000E20A0000}"/>
    <cellStyle name="Comma 3 25" xfId="6834" xr:uid="{00000000-0005-0000-0000-0000E30A0000}"/>
    <cellStyle name="Comma 3 26" xfId="6835" xr:uid="{00000000-0005-0000-0000-0000E40A0000}"/>
    <cellStyle name="Comma 3 27" xfId="6836" xr:uid="{00000000-0005-0000-0000-0000E50A0000}"/>
    <cellStyle name="Comma 3 28" xfId="6837" xr:uid="{00000000-0005-0000-0000-0000E60A0000}"/>
    <cellStyle name="Comma 3 29" xfId="6838" xr:uid="{00000000-0005-0000-0000-0000E70A0000}"/>
    <cellStyle name="Comma 3 29 2" xfId="6839" xr:uid="{00000000-0005-0000-0000-0000E80A0000}"/>
    <cellStyle name="Comma 3 29 2 2" xfId="6840" xr:uid="{00000000-0005-0000-0000-0000E90A0000}"/>
    <cellStyle name="Comma 3 3" xfId="1003" xr:uid="{00000000-0005-0000-0000-0000EA0A0000}"/>
    <cellStyle name="Comma 3 3 2" xfId="1004" xr:uid="{00000000-0005-0000-0000-0000EB0A0000}"/>
    <cellStyle name="Comma 3 3 3" xfId="1005" xr:uid="{00000000-0005-0000-0000-0000EC0A0000}"/>
    <cellStyle name="Comma 3 3 4" xfId="1006" xr:uid="{00000000-0005-0000-0000-0000ED0A0000}"/>
    <cellStyle name="Comma 3 3 5" xfId="1007" xr:uid="{00000000-0005-0000-0000-0000EE0A0000}"/>
    <cellStyle name="Comma 3 3 6" xfId="1008" xr:uid="{00000000-0005-0000-0000-0000EF0A0000}"/>
    <cellStyle name="Comma 3 30" xfId="6841" xr:uid="{00000000-0005-0000-0000-0000F00A0000}"/>
    <cellStyle name="Comma 3 31" xfId="6842" xr:uid="{00000000-0005-0000-0000-0000F10A0000}"/>
    <cellStyle name="Comma 3 32" xfId="6843" xr:uid="{00000000-0005-0000-0000-0000F20A0000}"/>
    <cellStyle name="Comma 3 33" xfId="6844" xr:uid="{00000000-0005-0000-0000-0000F30A0000}"/>
    <cellStyle name="Comma 3 34" xfId="6845" xr:uid="{00000000-0005-0000-0000-0000F40A0000}"/>
    <cellStyle name="Comma 3 35" xfId="6846" xr:uid="{00000000-0005-0000-0000-0000F50A0000}"/>
    <cellStyle name="Comma 3 36" xfId="6847" xr:uid="{00000000-0005-0000-0000-0000F60A0000}"/>
    <cellStyle name="Comma 3 37" xfId="6848" xr:uid="{00000000-0005-0000-0000-0000F70A0000}"/>
    <cellStyle name="Comma 3 38" xfId="6849" xr:uid="{00000000-0005-0000-0000-0000F80A0000}"/>
    <cellStyle name="Comma 3 39" xfId="6850" xr:uid="{00000000-0005-0000-0000-0000F90A0000}"/>
    <cellStyle name="Comma 3 4" xfId="1009" xr:uid="{00000000-0005-0000-0000-0000FA0A0000}"/>
    <cellStyle name="Comma 3 4 2" xfId="6851" xr:uid="{00000000-0005-0000-0000-0000FB0A0000}"/>
    <cellStyle name="Comma 3 4 3" xfId="6852" xr:uid="{00000000-0005-0000-0000-0000FC0A0000}"/>
    <cellStyle name="Comma 3 40" xfId="6853" xr:uid="{00000000-0005-0000-0000-0000FD0A0000}"/>
    <cellStyle name="Comma 3 41" xfId="6854" xr:uid="{00000000-0005-0000-0000-0000FE0A0000}"/>
    <cellStyle name="Comma 3 42" xfId="6855" xr:uid="{00000000-0005-0000-0000-0000FF0A0000}"/>
    <cellStyle name="Comma 3 43" xfId="6856" xr:uid="{00000000-0005-0000-0000-0000000B0000}"/>
    <cellStyle name="Comma 3 44" xfId="6857" xr:uid="{00000000-0005-0000-0000-0000010B0000}"/>
    <cellStyle name="Comma 3 5" xfId="1010" xr:uid="{00000000-0005-0000-0000-0000020B0000}"/>
    <cellStyle name="Comma 3 5 2" xfId="1011" xr:uid="{00000000-0005-0000-0000-0000030B0000}"/>
    <cellStyle name="Comma 3 5 2 2" xfId="6858" xr:uid="{00000000-0005-0000-0000-0000040B0000}"/>
    <cellStyle name="Comma 3 5 2 2 2" xfId="6859" xr:uid="{00000000-0005-0000-0000-0000050B0000}"/>
    <cellStyle name="Comma 3 5 2 2 2 2" xfId="6860" xr:uid="{00000000-0005-0000-0000-0000060B0000}"/>
    <cellStyle name="Comma 3 5 2 3" xfId="6861" xr:uid="{00000000-0005-0000-0000-0000070B0000}"/>
    <cellStyle name="Comma 3 5 2 4" xfId="6862" xr:uid="{00000000-0005-0000-0000-0000080B0000}"/>
    <cellStyle name="Comma 3 5 3" xfId="1012" xr:uid="{00000000-0005-0000-0000-0000090B0000}"/>
    <cellStyle name="Comma 3 5 3 2" xfId="6863" xr:uid="{00000000-0005-0000-0000-00000A0B0000}"/>
    <cellStyle name="Comma 3 5 3 2 2" xfId="6864" xr:uid="{00000000-0005-0000-0000-00000B0B0000}"/>
    <cellStyle name="Comma 3 5 3 3" xfId="6865" xr:uid="{00000000-0005-0000-0000-00000C0B0000}"/>
    <cellStyle name="Comma 3 5 4" xfId="6866" xr:uid="{00000000-0005-0000-0000-00000D0B0000}"/>
    <cellStyle name="Comma 3 5 5" xfId="6867" xr:uid="{00000000-0005-0000-0000-00000E0B0000}"/>
    <cellStyle name="Comma 3 6" xfId="1013" xr:uid="{00000000-0005-0000-0000-00000F0B0000}"/>
    <cellStyle name="Comma 3 6 2" xfId="1014" xr:uid="{00000000-0005-0000-0000-0000100B0000}"/>
    <cellStyle name="Comma 3 6 2 2" xfId="1015" xr:uid="{00000000-0005-0000-0000-0000110B0000}"/>
    <cellStyle name="Comma 3 6 3" xfId="6868" xr:uid="{00000000-0005-0000-0000-0000120B0000}"/>
    <cellStyle name="Comma 3 7" xfId="1016" xr:uid="{00000000-0005-0000-0000-0000130B0000}"/>
    <cellStyle name="Comma 3 7 2" xfId="1017" xr:uid="{00000000-0005-0000-0000-0000140B0000}"/>
    <cellStyle name="Comma 3 7 3" xfId="6869" xr:uid="{00000000-0005-0000-0000-0000150B0000}"/>
    <cellStyle name="Comma 3 8" xfId="1018" xr:uid="{00000000-0005-0000-0000-0000160B0000}"/>
    <cellStyle name="Comma 3 8 2" xfId="6870" xr:uid="{00000000-0005-0000-0000-0000170B0000}"/>
    <cellStyle name="Comma 3 9" xfId="1019" xr:uid="{00000000-0005-0000-0000-0000180B0000}"/>
    <cellStyle name="Comma 3 9 2" xfId="6871" xr:uid="{00000000-0005-0000-0000-0000190B0000}"/>
    <cellStyle name="Comma 3_GEO-H-GPIC 3 months budget_ALLdraft" xfId="1020" xr:uid="{00000000-0005-0000-0000-00001A0B0000}"/>
    <cellStyle name="Comma 4" xfId="1021" xr:uid="{00000000-0005-0000-0000-00001B0B0000}"/>
    <cellStyle name="Comma 4 2" xfId="1022" xr:uid="{00000000-0005-0000-0000-00001C0B0000}"/>
    <cellStyle name="Comma 4 2 10" xfId="1023" xr:uid="{00000000-0005-0000-0000-00001D0B0000}"/>
    <cellStyle name="Comma 4 2 2" xfId="1024" xr:uid="{00000000-0005-0000-0000-00001E0B0000}"/>
    <cellStyle name="Comma 4 2 3" xfId="1025" xr:uid="{00000000-0005-0000-0000-00001F0B0000}"/>
    <cellStyle name="Comma 4 2 4" xfId="1026" xr:uid="{00000000-0005-0000-0000-0000200B0000}"/>
    <cellStyle name="Comma 4 2 5" xfId="1027" xr:uid="{00000000-0005-0000-0000-0000210B0000}"/>
    <cellStyle name="Comma 4 2 6" xfId="1028" xr:uid="{00000000-0005-0000-0000-0000220B0000}"/>
    <cellStyle name="Comma 4 2 7" xfId="1029" xr:uid="{00000000-0005-0000-0000-0000230B0000}"/>
    <cellStyle name="Comma 4 2 8" xfId="1030" xr:uid="{00000000-0005-0000-0000-0000240B0000}"/>
    <cellStyle name="Comma 4 2 9" xfId="1031" xr:uid="{00000000-0005-0000-0000-0000250B0000}"/>
    <cellStyle name="Comma 4 3" xfId="1032" xr:uid="{00000000-0005-0000-0000-0000260B0000}"/>
    <cellStyle name="Comma 4 3 2" xfId="1033" xr:uid="{00000000-0005-0000-0000-0000270B0000}"/>
    <cellStyle name="Comma 4 4" xfId="1034" xr:uid="{00000000-0005-0000-0000-0000280B0000}"/>
    <cellStyle name="Comma 4 4 2" xfId="1035" xr:uid="{00000000-0005-0000-0000-0000290B0000}"/>
    <cellStyle name="Comma 4 5" xfId="1036" xr:uid="{00000000-0005-0000-0000-00002A0B0000}"/>
    <cellStyle name="Comma 4 6" xfId="1037" xr:uid="{00000000-0005-0000-0000-00002B0B0000}"/>
    <cellStyle name="Comma 4 7" xfId="1038" xr:uid="{00000000-0005-0000-0000-00002C0B0000}"/>
    <cellStyle name="Comma 5" xfId="1039" xr:uid="{00000000-0005-0000-0000-00002D0B0000}"/>
    <cellStyle name="Comma 5 10" xfId="6872" xr:uid="{00000000-0005-0000-0000-00002E0B0000}"/>
    <cellStyle name="Comma 5 11" xfId="6873" xr:uid="{00000000-0005-0000-0000-00002F0B0000}"/>
    <cellStyle name="Comma 5 12" xfId="6874" xr:uid="{00000000-0005-0000-0000-0000300B0000}"/>
    <cellStyle name="Comma 5 13" xfId="6875" xr:uid="{00000000-0005-0000-0000-0000310B0000}"/>
    <cellStyle name="Comma 5 14" xfId="6876" xr:uid="{00000000-0005-0000-0000-0000320B0000}"/>
    <cellStyle name="Comma 5 15" xfId="6877" xr:uid="{00000000-0005-0000-0000-0000330B0000}"/>
    <cellStyle name="Comma 5 16" xfId="6878" xr:uid="{00000000-0005-0000-0000-0000340B0000}"/>
    <cellStyle name="Comma 5 17" xfId="6879" xr:uid="{00000000-0005-0000-0000-0000350B0000}"/>
    <cellStyle name="Comma 5 2" xfId="1040" xr:uid="{00000000-0005-0000-0000-0000360B0000}"/>
    <cellStyle name="Comma 5 2 10" xfId="1041" xr:uid="{00000000-0005-0000-0000-0000370B0000}"/>
    <cellStyle name="Comma 5 2 10 2" xfId="6880" xr:uid="{00000000-0005-0000-0000-0000380B0000}"/>
    <cellStyle name="Comma 5 2 11" xfId="6881" xr:uid="{00000000-0005-0000-0000-0000390B0000}"/>
    <cellStyle name="Comma 5 2 12" xfId="6882" xr:uid="{00000000-0005-0000-0000-00003A0B0000}"/>
    <cellStyle name="Comma 5 2 13" xfId="6883" xr:uid="{00000000-0005-0000-0000-00003B0B0000}"/>
    <cellStyle name="Comma 5 2 14" xfId="6884" xr:uid="{00000000-0005-0000-0000-00003C0B0000}"/>
    <cellStyle name="Comma 5 2 15" xfId="6885" xr:uid="{00000000-0005-0000-0000-00003D0B0000}"/>
    <cellStyle name="Comma 5 2 16" xfId="6886" xr:uid="{00000000-0005-0000-0000-00003E0B0000}"/>
    <cellStyle name="Comma 5 2 2" xfId="1042" xr:uid="{00000000-0005-0000-0000-00003F0B0000}"/>
    <cellStyle name="Comma 5 2 2 10" xfId="6887" xr:uid="{00000000-0005-0000-0000-0000400B0000}"/>
    <cellStyle name="Comma 5 2 2 11" xfId="6888" xr:uid="{00000000-0005-0000-0000-0000410B0000}"/>
    <cellStyle name="Comma 5 2 2 12" xfId="6889" xr:uid="{00000000-0005-0000-0000-0000420B0000}"/>
    <cellStyle name="Comma 5 2 2 13" xfId="6890" xr:uid="{00000000-0005-0000-0000-0000430B0000}"/>
    <cellStyle name="Comma 5 2 2 14" xfId="6891" xr:uid="{00000000-0005-0000-0000-0000440B0000}"/>
    <cellStyle name="Comma 5 2 2 15" xfId="6892" xr:uid="{00000000-0005-0000-0000-0000450B0000}"/>
    <cellStyle name="Comma 5 2 2 16" xfId="6893" xr:uid="{00000000-0005-0000-0000-0000460B0000}"/>
    <cellStyle name="Comma 5 2 2 17" xfId="6894" xr:uid="{00000000-0005-0000-0000-0000470B0000}"/>
    <cellStyle name="Comma 5 2 2 2" xfId="6895" xr:uid="{00000000-0005-0000-0000-0000480B0000}"/>
    <cellStyle name="Comma 5 2 2 2 10" xfId="6896" xr:uid="{00000000-0005-0000-0000-0000490B0000}"/>
    <cellStyle name="Comma 5 2 2 2 11" xfId="6897" xr:uid="{00000000-0005-0000-0000-00004A0B0000}"/>
    <cellStyle name="Comma 5 2 2 2 12" xfId="6898" xr:uid="{00000000-0005-0000-0000-00004B0B0000}"/>
    <cellStyle name="Comma 5 2 2 2 13" xfId="6899" xr:uid="{00000000-0005-0000-0000-00004C0B0000}"/>
    <cellStyle name="Comma 5 2 2 2 14" xfId="6900" xr:uid="{00000000-0005-0000-0000-00004D0B0000}"/>
    <cellStyle name="Comma 5 2 2 2 15" xfId="6901" xr:uid="{00000000-0005-0000-0000-00004E0B0000}"/>
    <cellStyle name="Comma 5 2 2 2 2" xfId="6902" xr:uid="{00000000-0005-0000-0000-00004F0B0000}"/>
    <cellStyle name="Comma 5 2 2 2 2 10" xfId="6903" xr:uid="{00000000-0005-0000-0000-0000500B0000}"/>
    <cellStyle name="Comma 5 2 2 2 2 11" xfId="6904" xr:uid="{00000000-0005-0000-0000-0000510B0000}"/>
    <cellStyle name="Comma 5 2 2 2 2 12" xfId="6905" xr:uid="{00000000-0005-0000-0000-0000520B0000}"/>
    <cellStyle name="Comma 5 2 2 2 2 13" xfId="6906" xr:uid="{00000000-0005-0000-0000-0000530B0000}"/>
    <cellStyle name="Comma 5 2 2 2 2 14" xfId="6907" xr:uid="{00000000-0005-0000-0000-0000540B0000}"/>
    <cellStyle name="Comma 5 2 2 2 2 15" xfId="6908" xr:uid="{00000000-0005-0000-0000-0000550B0000}"/>
    <cellStyle name="Comma 5 2 2 2 2 2" xfId="6909" xr:uid="{00000000-0005-0000-0000-0000560B0000}"/>
    <cellStyle name="Comma 5 2 2 2 2 3" xfId="6910" xr:uid="{00000000-0005-0000-0000-0000570B0000}"/>
    <cellStyle name="Comma 5 2 2 2 2 4" xfId="6911" xr:uid="{00000000-0005-0000-0000-0000580B0000}"/>
    <cellStyle name="Comma 5 2 2 2 2 5" xfId="6912" xr:uid="{00000000-0005-0000-0000-0000590B0000}"/>
    <cellStyle name="Comma 5 2 2 2 2 6" xfId="6913" xr:uid="{00000000-0005-0000-0000-00005A0B0000}"/>
    <cellStyle name="Comma 5 2 2 2 2 7" xfId="6914" xr:uid="{00000000-0005-0000-0000-00005B0B0000}"/>
    <cellStyle name="Comma 5 2 2 2 2 8" xfId="6915" xr:uid="{00000000-0005-0000-0000-00005C0B0000}"/>
    <cellStyle name="Comma 5 2 2 2 2 9" xfId="6916" xr:uid="{00000000-0005-0000-0000-00005D0B0000}"/>
    <cellStyle name="Comma 5 2 2 2 3" xfId="6917" xr:uid="{00000000-0005-0000-0000-00005E0B0000}"/>
    <cellStyle name="Comma 5 2 2 2 4" xfId="6918" xr:uid="{00000000-0005-0000-0000-00005F0B0000}"/>
    <cellStyle name="Comma 5 2 2 2 5" xfId="6919" xr:uid="{00000000-0005-0000-0000-0000600B0000}"/>
    <cellStyle name="Comma 5 2 2 2 6" xfId="6920" xr:uid="{00000000-0005-0000-0000-0000610B0000}"/>
    <cellStyle name="Comma 5 2 2 2 7" xfId="6921" xr:uid="{00000000-0005-0000-0000-0000620B0000}"/>
    <cellStyle name="Comma 5 2 2 2 8" xfId="6922" xr:uid="{00000000-0005-0000-0000-0000630B0000}"/>
    <cellStyle name="Comma 5 2 2 2 9" xfId="6923" xr:uid="{00000000-0005-0000-0000-0000640B0000}"/>
    <cellStyle name="Comma 5 2 2 3" xfId="6924" xr:uid="{00000000-0005-0000-0000-0000650B0000}"/>
    <cellStyle name="Comma 5 2 2 4" xfId="6925" xr:uid="{00000000-0005-0000-0000-0000660B0000}"/>
    <cellStyle name="Comma 5 2 2 5" xfId="6926" xr:uid="{00000000-0005-0000-0000-0000670B0000}"/>
    <cellStyle name="Comma 5 2 2 6" xfId="6927" xr:uid="{00000000-0005-0000-0000-0000680B0000}"/>
    <cellStyle name="Comma 5 2 2 7" xfId="6928" xr:uid="{00000000-0005-0000-0000-0000690B0000}"/>
    <cellStyle name="Comma 5 2 2 8" xfId="6929" xr:uid="{00000000-0005-0000-0000-00006A0B0000}"/>
    <cellStyle name="Comma 5 2 2 9" xfId="6930" xr:uid="{00000000-0005-0000-0000-00006B0B0000}"/>
    <cellStyle name="Comma 5 2 3" xfId="1043" xr:uid="{00000000-0005-0000-0000-00006C0B0000}"/>
    <cellStyle name="Comma 5 2 3 10" xfId="6931" xr:uid="{00000000-0005-0000-0000-00006D0B0000}"/>
    <cellStyle name="Comma 5 2 3 11" xfId="6932" xr:uid="{00000000-0005-0000-0000-00006E0B0000}"/>
    <cellStyle name="Comma 5 2 3 12" xfId="6933" xr:uid="{00000000-0005-0000-0000-00006F0B0000}"/>
    <cellStyle name="Comma 5 2 3 13" xfId="6934" xr:uid="{00000000-0005-0000-0000-0000700B0000}"/>
    <cellStyle name="Comma 5 2 3 14" xfId="6935" xr:uid="{00000000-0005-0000-0000-0000710B0000}"/>
    <cellStyle name="Comma 5 2 3 15" xfId="6936" xr:uid="{00000000-0005-0000-0000-0000720B0000}"/>
    <cellStyle name="Comma 5 2 3 16" xfId="6937" xr:uid="{00000000-0005-0000-0000-0000730B0000}"/>
    <cellStyle name="Comma 5 2 3 2" xfId="6938" xr:uid="{00000000-0005-0000-0000-0000740B0000}"/>
    <cellStyle name="Comma 5 2 3 3" xfId="6939" xr:uid="{00000000-0005-0000-0000-0000750B0000}"/>
    <cellStyle name="Comma 5 2 3 4" xfId="6940" xr:uid="{00000000-0005-0000-0000-0000760B0000}"/>
    <cellStyle name="Comma 5 2 3 5" xfId="6941" xr:uid="{00000000-0005-0000-0000-0000770B0000}"/>
    <cellStyle name="Comma 5 2 3 6" xfId="6942" xr:uid="{00000000-0005-0000-0000-0000780B0000}"/>
    <cellStyle name="Comma 5 2 3 7" xfId="6943" xr:uid="{00000000-0005-0000-0000-0000790B0000}"/>
    <cellStyle name="Comma 5 2 3 8" xfId="6944" xr:uid="{00000000-0005-0000-0000-00007A0B0000}"/>
    <cellStyle name="Comma 5 2 3 9" xfId="6945" xr:uid="{00000000-0005-0000-0000-00007B0B0000}"/>
    <cellStyle name="Comma 5 2 4" xfId="1044" xr:uid="{00000000-0005-0000-0000-00007C0B0000}"/>
    <cellStyle name="Comma 5 2 4 2" xfId="6946" xr:uid="{00000000-0005-0000-0000-00007D0B0000}"/>
    <cellStyle name="Comma 5 2 5" xfId="1045" xr:uid="{00000000-0005-0000-0000-00007E0B0000}"/>
    <cellStyle name="Comma 5 2 5 2" xfId="6947" xr:uid="{00000000-0005-0000-0000-00007F0B0000}"/>
    <cellStyle name="Comma 5 2 6" xfId="1046" xr:uid="{00000000-0005-0000-0000-0000800B0000}"/>
    <cellStyle name="Comma 5 2 6 2" xfId="6948" xr:uid="{00000000-0005-0000-0000-0000810B0000}"/>
    <cellStyle name="Comma 5 2 7" xfId="1047" xr:uid="{00000000-0005-0000-0000-0000820B0000}"/>
    <cellStyle name="Comma 5 2 7 2" xfId="6949" xr:uid="{00000000-0005-0000-0000-0000830B0000}"/>
    <cellStyle name="Comma 5 2 8" xfId="1048" xr:uid="{00000000-0005-0000-0000-0000840B0000}"/>
    <cellStyle name="Comma 5 2 8 2" xfId="6950" xr:uid="{00000000-0005-0000-0000-0000850B0000}"/>
    <cellStyle name="Comma 5 2 9" xfId="1049" xr:uid="{00000000-0005-0000-0000-0000860B0000}"/>
    <cellStyle name="Comma 5 2 9 2" xfId="6951" xr:uid="{00000000-0005-0000-0000-0000870B0000}"/>
    <cellStyle name="Comma 5 3" xfId="1050" xr:uid="{00000000-0005-0000-0000-0000880B0000}"/>
    <cellStyle name="Comma 5 3 10" xfId="6952" xr:uid="{00000000-0005-0000-0000-0000890B0000}"/>
    <cellStyle name="Comma 5 3 11" xfId="6953" xr:uid="{00000000-0005-0000-0000-00008A0B0000}"/>
    <cellStyle name="Comma 5 3 12" xfId="6954" xr:uid="{00000000-0005-0000-0000-00008B0B0000}"/>
    <cellStyle name="Comma 5 3 13" xfId="6955" xr:uid="{00000000-0005-0000-0000-00008C0B0000}"/>
    <cellStyle name="Comma 5 3 14" xfId="6956" xr:uid="{00000000-0005-0000-0000-00008D0B0000}"/>
    <cellStyle name="Comma 5 3 15" xfId="6957" xr:uid="{00000000-0005-0000-0000-00008E0B0000}"/>
    <cellStyle name="Comma 5 3 2" xfId="1051" xr:uid="{00000000-0005-0000-0000-00008F0B0000}"/>
    <cellStyle name="Comma 5 3 2 10" xfId="6958" xr:uid="{00000000-0005-0000-0000-0000900B0000}"/>
    <cellStyle name="Comma 5 3 2 11" xfId="6959" xr:uid="{00000000-0005-0000-0000-0000910B0000}"/>
    <cellStyle name="Comma 5 3 2 12" xfId="6960" xr:uid="{00000000-0005-0000-0000-0000920B0000}"/>
    <cellStyle name="Comma 5 3 2 13" xfId="6961" xr:uid="{00000000-0005-0000-0000-0000930B0000}"/>
    <cellStyle name="Comma 5 3 2 14" xfId="6962" xr:uid="{00000000-0005-0000-0000-0000940B0000}"/>
    <cellStyle name="Comma 5 3 2 15" xfId="6963" xr:uid="{00000000-0005-0000-0000-0000950B0000}"/>
    <cellStyle name="Comma 5 3 2 16" xfId="6964" xr:uid="{00000000-0005-0000-0000-0000960B0000}"/>
    <cellStyle name="Comma 5 3 2 2" xfId="6965" xr:uid="{00000000-0005-0000-0000-0000970B0000}"/>
    <cellStyle name="Comma 5 3 2 3" xfId="6966" xr:uid="{00000000-0005-0000-0000-0000980B0000}"/>
    <cellStyle name="Comma 5 3 2 4" xfId="6967" xr:uid="{00000000-0005-0000-0000-0000990B0000}"/>
    <cellStyle name="Comma 5 3 2 5" xfId="6968" xr:uid="{00000000-0005-0000-0000-00009A0B0000}"/>
    <cellStyle name="Comma 5 3 2 6" xfId="6969" xr:uid="{00000000-0005-0000-0000-00009B0B0000}"/>
    <cellStyle name="Comma 5 3 2 7" xfId="6970" xr:uid="{00000000-0005-0000-0000-00009C0B0000}"/>
    <cellStyle name="Comma 5 3 2 8" xfId="6971" xr:uid="{00000000-0005-0000-0000-00009D0B0000}"/>
    <cellStyle name="Comma 5 3 2 9" xfId="6972" xr:uid="{00000000-0005-0000-0000-00009E0B0000}"/>
    <cellStyle name="Comma 5 3 3" xfId="6973" xr:uid="{00000000-0005-0000-0000-00009F0B0000}"/>
    <cellStyle name="Comma 5 3 4" xfId="6974" xr:uid="{00000000-0005-0000-0000-0000A00B0000}"/>
    <cellStyle name="Comma 5 3 5" xfId="6975" xr:uid="{00000000-0005-0000-0000-0000A10B0000}"/>
    <cellStyle name="Comma 5 3 6" xfId="6976" xr:uid="{00000000-0005-0000-0000-0000A20B0000}"/>
    <cellStyle name="Comma 5 3 7" xfId="6977" xr:uid="{00000000-0005-0000-0000-0000A30B0000}"/>
    <cellStyle name="Comma 5 3 8" xfId="6978" xr:uid="{00000000-0005-0000-0000-0000A40B0000}"/>
    <cellStyle name="Comma 5 3 9" xfId="6979" xr:uid="{00000000-0005-0000-0000-0000A50B0000}"/>
    <cellStyle name="Comma 5 4" xfId="1052" xr:uid="{00000000-0005-0000-0000-0000A60B0000}"/>
    <cellStyle name="Comma 5 4 2" xfId="1053" xr:uid="{00000000-0005-0000-0000-0000A70B0000}"/>
    <cellStyle name="Comma 5 4 3" xfId="6980" xr:uid="{00000000-0005-0000-0000-0000A80B0000}"/>
    <cellStyle name="Comma 5 5" xfId="1054" xr:uid="{00000000-0005-0000-0000-0000A90B0000}"/>
    <cellStyle name="Comma 5 5 2" xfId="6981" xr:uid="{00000000-0005-0000-0000-0000AA0B0000}"/>
    <cellStyle name="Comma 5 6" xfId="1055" xr:uid="{00000000-0005-0000-0000-0000AB0B0000}"/>
    <cellStyle name="Comma 5 6 2" xfId="6982" xr:uid="{00000000-0005-0000-0000-0000AC0B0000}"/>
    <cellStyle name="Comma 5 7" xfId="1056" xr:uid="{00000000-0005-0000-0000-0000AD0B0000}"/>
    <cellStyle name="Comma 5 7 2" xfId="6983" xr:uid="{00000000-0005-0000-0000-0000AE0B0000}"/>
    <cellStyle name="Comma 5 8" xfId="6984" xr:uid="{00000000-0005-0000-0000-0000AF0B0000}"/>
    <cellStyle name="Comma 5 9" xfId="6985" xr:uid="{00000000-0005-0000-0000-0000B00B0000}"/>
    <cellStyle name="Comma 6" xfId="1057" xr:uid="{00000000-0005-0000-0000-0000B10B0000}"/>
    <cellStyle name="Comma 6 10" xfId="1058" xr:uid="{00000000-0005-0000-0000-0000B20B0000}"/>
    <cellStyle name="Comma 6 2" xfId="1059" xr:uid="{00000000-0005-0000-0000-0000B30B0000}"/>
    <cellStyle name="Comma 6 2 10" xfId="1060" xr:uid="{00000000-0005-0000-0000-0000B40B0000}"/>
    <cellStyle name="Comma 6 2 2" xfId="1061" xr:uid="{00000000-0005-0000-0000-0000B50B0000}"/>
    <cellStyle name="Comma 6 2 3" xfId="1062" xr:uid="{00000000-0005-0000-0000-0000B60B0000}"/>
    <cellStyle name="Comma 6 2 4" xfId="1063" xr:uid="{00000000-0005-0000-0000-0000B70B0000}"/>
    <cellStyle name="Comma 6 2 5" xfId="1064" xr:uid="{00000000-0005-0000-0000-0000B80B0000}"/>
    <cellStyle name="Comma 6 2 6" xfId="1065" xr:uid="{00000000-0005-0000-0000-0000B90B0000}"/>
    <cellStyle name="Comma 6 2 7" xfId="1066" xr:uid="{00000000-0005-0000-0000-0000BA0B0000}"/>
    <cellStyle name="Comma 6 2 8" xfId="1067" xr:uid="{00000000-0005-0000-0000-0000BB0B0000}"/>
    <cellStyle name="Comma 6 2 9" xfId="1068" xr:uid="{00000000-0005-0000-0000-0000BC0B0000}"/>
    <cellStyle name="Comma 6 3" xfId="1069" xr:uid="{00000000-0005-0000-0000-0000BD0B0000}"/>
    <cellStyle name="Comma 6 3 2" xfId="1070" xr:uid="{00000000-0005-0000-0000-0000BE0B0000}"/>
    <cellStyle name="Comma 6 3 3" xfId="1071" xr:uid="{00000000-0005-0000-0000-0000BF0B0000}"/>
    <cellStyle name="Comma 6 3 4" xfId="1072" xr:uid="{00000000-0005-0000-0000-0000C00B0000}"/>
    <cellStyle name="Comma 6 3 5" xfId="1073" xr:uid="{00000000-0005-0000-0000-0000C10B0000}"/>
    <cellStyle name="Comma 6 3 6" xfId="1074" xr:uid="{00000000-0005-0000-0000-0000C20B0000}"/>
    <cellStyle name="Comma 6 3 7" xfId="1075" xr:uid="{00000000-0005-0000-0000-0000C30B0000}"/>
    <cellStyle name="Comma 6 3 8" xfId="1076" xr:uid="{00000000-0005-0000-0000-0000C40B0000}"/>
    <cellStyle name="Comma 6 3 9" xfId="1077" xr:uid="{00000000-0005-0000-0000-0000C50B0000}"/>
    <cellStyle name="Comma 6 4" xfId="1078" xr:uid="{00000000-0005-0000-0000-0000C60B0000}"/>
    <cellStyle name="Comma 6 4 2" xfId="1079" xr:uid="{00000000-0005-0000-0000-0000C70B0000}"/>
    <cellStyle name="Comma 6 5" xfId="1080" xr:uid="{00000000-0005-0000-0000-0000C80B0000}"/>
    <cellStyle name="Comma 6 6" xfId="1081" xr:uid="{00000000-0005-0000-0000-0000C90B0000}"/>
    <cellStyle name="Comma 6 7" xfId="1082" xr:uid="{00000000-0005-0000-0000-0000CA0B0000}"/>
    <cellStyle name="Comma 6 8" xfId="1083" xr:uid="{00000000-0005-0000-0000-0000CB0B0000}"/>
    <cellStyle name="Comma 6 9" xfId="1084" xr:uid="{00000000-0005-0000-0000-0000CC0B0000}"/>
    <cellStyle name="Comma 7" xfId="1085" xr:uid="{00000000-0005-0000-0000-0000CD0B0000}"/>
    <cellStyle name="Comma 7 2" xfId="1086" xr:uid="{00000000-0005-0000-0000-0000CE0B0000}"/>
    <cellStyle name="Comma 7 2 10" xfId="1087" xr:uid="{00000000-0005-0000-0000-0000CF0B0000}"/>
    <cellStyle name="Comma 7 2 2" xfId="1088" xr:uid="{00000000-0005-0000-0000-0000D00B0000}"/>
    <cellStyle name="Comma 7 2 3" xfId="1089" xr:uid="{00000000-0005-0000-0000-0000D10B0000}"/>
    <cellStyle name="Comma 7 2 4" xfId="1090" xr:uid="{00000000-0005-0000-0000-0000D20B0000}"/>
    <cellStyle name="Comma 7 2 5" xfId="1091" xr:uid="{00000000-0005-0000-0000-0000D30B0000}"/>
    <cellStyle name="Comma 7 2 6" xfId="1092" xr:uid="{00000000-0005-0000-0000-0000D40B0000}"/>
    <cellStyle name="Comma 7 2 7" xfId="1093" xr:uid="{00000000-0005-0000-0000-0000D50B0000}"/>
    <cellStyle name="Comma 7 2 8" xfId="1094" xr:uid="{00000000-0005-0000-0000-0000D60B0000}"/>
    <cellStyle name="Comma 7 2 9" xfId="1095" xr:uid="{00000000-0005-0000-0000-0000D70B0000}"/>
    <cellStyle name="Comma 7 3" xfId="1096" xr:uid="{00000000-0005-0000-0000-0000D80B0000}"/>
    <cellStyle name="Comma 7 4" xfId="1097" xr:uid="{00000000-0005-0000-0000-0000D90B0000}"/>
    <cellStyle name="Comma 8" xfId="1098" xr:uid="{00000000-0005-0000-0000-0000DA0B0000}"/>
    <cellStyle name="Comma 8 10" xfId="1099" xr:uid="{00000000-0005-0000-0000-0000DB0B0000}"/>
    <cellStyle name="Comma 8 2" xfId="1100" xr:uid="{00000000-0005-0000-0000-0000DC0B0000}"/>
    <cellStyle name="Comma 8 2 2" xfId="1101" xr:uid="{00000000-0005-0000-0000-0000DD0B0000}"/>
    <cellStyle name="Comma 8 3" xfId="1102" xr:uid="{00000000-0005-0000-0000-0000DE0B0000}"/>
    <cellStyle name="Comma 8 3 2" xfId="1103" xr:uid="{00000000-0005-0000-0000-0000DF0B0000}"/>
    <cellStyle name="Comma 8 4" xfId="1104" xr:uid="{00000000-0005-0000-0000-0000E00B0000}"/>
    <cellStyle name="Comma 8 5" xfId="1105" xr:uid="{00000000-0005-0000-0000-0000E10B0000}"/>
    <cellStyle name="Comma 8 6" xfId="1106" xr:uid="{00000000-0005-0000-0000-0000E20B0000}"/>
    <cellStyle name="Comma 8 7" xfId="1107" xr:uid="{00000000-0005-0000-0000-0000E30B0000}"/>
    <cellStyle name="Comma 8 8" xfId="1108" xr:uid="{00000000-0005-0000-0000-0000E40B0000}"/>
    <cellStyle name="Comma 8 9" xfId="1109" xr:uid="{00000000-0005-0000-0000-0000E50B0000}"/>
    <cellStyle name="Comma 9" xfId="1110" xr:uid="{00000000-0005-0000-0000-0000E60B0000}"/>
    <cellStyle name="Comma 9 2" xfId="1111" xr:uid="{00000000-0005-0000-0000-0000E70B0000}"/>
    <cellStyle name="Comma 9 2 2" xfId="1112" xr:uid="{00000000-0005-0000-0000-0000E80B0000}"/>
    <cellStyle name="Comma 9 2 3" xfId="1113" xr:uid="{00000000-0005-0000-0000-0000E90B0000}"/>
    <cellStyle name="Comma 9 2 4" xfId="1114" xr:uid="{00000000-0005-0000-0000-0000EA0B0000}"/>
    <cellStyle name="Comma 9 2 5" xfId="1115" xr:uid="{00000000-0005-0000-0000-0000EB0B0000}"/>
    <cellStyle name="Comma 9 2 6" xfId="1116" xr:uid="{00000000-0005-0000-0000-0000EC0B0000}"/>
    <cellStyle name="Comma 9 3" xfId="1117" xr:uid="{00000000-0005-0000-0000-0000ED0B0000}"/>
    <cellStyle name="Comma 9 4" xfId="1118" xr:uid="{00000000-0005-0000-0000-0000EE0B0000}"/>
    <cellStyle name="Comma 9 5" xfId="1119" xr:uid="{00000000-0005-0000-0000-0000EF0B0000}"/>
    <cellStyle name="Comma 9 6" xfId="1120" xr:uid="{00000000-0005-0000-0000-0000F00B0000}"/>
    <cellStyle name="Comma 9 7" xfId="1121" xr:uid="{00000000-0005-0000-0000-0000F10B0000}"/>
    <cellStyle name="Comma0" xfId="1122" xr:uid="{00000000-0005-0000-0000-0000F20B0000}"/>
    <cellStyle name="Currency 2" xfId="1123" xr:uid="{00000000-0005-0000-0000-0000F30B0000}"/>
    <cellStyle name="Currency 3" xfId="1124" xr:uid="{00000000-0005-0000-0000-0000F40B0000}"/>
    <cellStyle name="Currency 4" xfId="1125" xr:uid="{00000000-0005-0000-0000-0000F50B0000}"/>
    <cellStyle name="Currency 4 2" xfId="6986" xr:uid="{00000000-0005-0000-0000-0000F60B0000}"/>
    <cellStyle name="Currency 5" xfId="1126" xr:uid="{00000000-0005-0000-0000-0000F70B0000}"/>
    <cellStyle name="Currency0" xfId="1127" xr:uid="{00000000-0005-0000-0000-0000F80B0000}"/>
    <cellStyle name="DataPilot Category" xfId="1128" xr:uid="{00000000-0005-0000-0000-0000F90B0000}"/>
    <cellStyle name="DataPilot Corner" xfId="1129" xr:uid="{00000000-0005-0000-0000-0000FA0B0000}"/>
    <cellStyle name="DataPilot Field" xfId="1130" xr:uid="{00000000-0005-0000-0000-0000FB0B0000}"/>
    <cellStyle name="DataPilot Result" xfId="1131" xr:uid="{00000000-0005-0000-0000-0000FC0B0000}"/>
    <cellStyle name="DataPilot Title" xfId="1132" xr:uid="{00000000-0005-0000-0000-0000FD0B0000}"/>
    <cellStyle name="DataPilot Value" xfId="1133" xr:uid="{00000000-0005-0000-0000-0000FE0B0000}"/>
    <cellStyle name="Date" xfId="1134" xr:uid="{00000000-0005-0000-0000-0000FF0B0000}"/>
    <cellStyle name="Euro" xfId="1135" xr:uid="{00000000-0005-0000-0000-0000000C0000}"/>
    <cellStyle name="Euro 2" xfId="1136" xr:uid="{00000000-0005-0000-0000-0000010C0000}"/>
    <cellStyle name="Excel Built-in Normal" xfId="1137" xr:uid="{00000000-0005-0000-0000-0000020C0000}"/>
    <cellStyle name="Excel Built-in Normal 1" xfId="1138" xr:uid="{00000000-0005-0000-0000-0000030C0000}"/>
    <cellStyle name="Excel Built-in Normal 1 2" xfId="1139" xr:uid="{00000000-0005-0000-0000-0000040C0000}"/>
    <cellStyle name="Excel Built-in Normal 2" xfId="1140" xr:uid="{00000000-0005-0000-0000-0000050C0000}"/>
    <cellStyle name="Excel Built-in Normal 3" xfId="1141" xr:uid="{00000000-0005-0000-0000-0000060C0000}"/>
    <cellStyle name="Explanatory Text" xfId="1142" xr:uid="{00000000-0005-0000-0000-0000070C0000}"/>
    <cellStyle name="Explanatory Text 2" xfId="1143" xr:uid="{00000000-0005-0000-0000-0000080C0000}"/>
    <cellStyle name="Explanatory Text 2 10" xfId="6987" xr:uid="{00000000-0005-0000-0000-0000090C0000}"/>
    <cellStyle name="Explanatory Text 2 11" xfId="6988" xr:uid="{00000000-0005-0000-0000-00000A0C0000}"/>
    <cellStyle name="Explanatory Text 2 12" xfId="6989" xr:uid="{00000000-0005-0000-0000-00000B0C0000}"/>
    <cellStyle name="Explanatory Text 2 2" xfId="1144" xr:uid="{00000000-0005-0000-0000-00000C0C0000}"/>
    <cellStyle name="Explanatory Text 2 3" xfId="1145" xr:uid="{00000000-0005-0000-0000-00000D0C0000}"/>
    <cellStyle name="Explanatory Text 2 4" xfId="1146" xr:uid="{00000000-0005-0000-0000-00000E0C0000}"/>
    <cellStyle name="Explanatory Text 2 5" xfId="1147" xr:uid="{00000000-0005-0000-0000-00000F0C0000}"/>
    <cellStyle name="Explanatory Text 2 6" xfId="1148" xr:uid="{00000000-0005-0000-0000-0000100C0000}"/>
    <cellStyle name="Explanatory Text 2 7" xfId="1149" xr:uid="{00000000-0005-0000-0000-0000110C0000}"/>
    <cellStyle name="Explanatory Text 2 8" xfId="1150" xr:uid="{00000000-0005-0000-0000-0000120C0000}"/>
    <cellStyle name="Explanatory Text 2 9" xfId="1151" xr:uid="{00000000-0005-0000-0000-0000130C0000}"/>
    <cellStyle name="Explanatory Text 3" xfId="1152" xr:uid="{00000000-0005-0000-0000-0000140C0000}"/>
    <cellStyle name="Explanatory Text 3 2" xfId="1153" xr:uid="{00000000-0005-0000-0000-0000150C0000}"/>
    <cellStyle name="Explanatory Text 4" xfId="1154" xr:uid="{00000000-0005-0000-0000-0000160C0000}"/>
    <cellStyle name="Explanatory Text 4 2" xfId="1155" xr:uid="{00000000-0005-0000-0000-0000170C0000}"/>
    <cellStyle name="Explanatory Text 5" xfId="1156" xr:uid="{00000000-0005-0000-0000-0000180C0000}"/>
    <cellStyle name="Explanatory Text 6" xfId="1157" xr:uid="{00000000-0005-0000-0000-0000190C0000}"/>
    <cellStyle name="Explanatory Text 6 2" xfId="1158" xr:uid="{00000000-0005-0000-0000-00001A0C0000}"/>
    <cellStyle name="Explanatory Text 7" xfId="1159" xr:uid="{00000000-0005-0000-0000-00001B0C0000}"/>
    <cellStyle name="Explanatory Text 7 2" xfId="1160" xr:uid="{00000000-0005-0000-0000-00001C0C0000}"/>
    <cellStyle name="Fixed" xfId="1161" xr:uid="{00000000-0005-0000-0000-00001D0C0000}"/>
    <cellStyle name="Good" xfId="1162" xr:uid="{00000000-0005-0000-0000-00001E0C0000}"/>
    <cellStyle name="Good 2" xfId="1163" xr:uid="{00000000-0005-0000-0000-00001F0C0000}"/>
    <cellStyle name="Good 2 10" xfId="6990" xr:uid="{00000000-0005-0000-0000-0000200C0000}"/>
    <cellStyle name="Good 2 11" xfId="6991" xr:uid="{00000000-0005-0000-0000-0000210C0000}"/>
    <cellStyle name="Good 2 12" xfId="6992" xr:uid="{00000000-0005-0000-0000-0000220C0000}"/>
    <cellStyle name="Good 2 2" xfId="1164" xr:uid="{00000000-0005-0000-0000-0000230C0000}"/>
    <cellStyle name="Good 2 3" xfId="1165" xr:uid="{00000000-0005-0000-0000-0000240C0000}"/>
    <cellStyle name="Good 2 4" xfId="1166" xr:uid="{00000000-0005-0000-0000-0000250C0000}"/>
    <cellStyle name="Good 2 5" xfId="1167" xr:uid="{00000000-0005-0000-0000-0000260C0000}"/>
    <cellStyle name="Good 2 6" xfId="1168" xr:uid="{00000000-0005-0000-0000-0000270C0000}"/>
    <cellStyle name="Good 2 7" xfId="1169" xr:uid="{00000000-0005-0000-0000-0000280C0000}"/>
    <cellStyle name="Good 2 8" xfId="1170" xr:uid="{00000000-0005-0000-0000-0000290C0000}"/>
    <cellStyle name="Good 2 9" xfId="1171" xr:uid="{00000000-0005-0000-0000-00002A0C0000}"/>
    <cellStyle name="Good 3" xfId="1172" xr:uid="{00000000-0005-0000-0000-00002B0C0000}"/>
    <cellStyle name="Good 3 2" xfId="1173" xr:uid="{00000000-0005-0000-0000-00002C0C0000}"/>
    <cellStyle name="Good 4" xfId="1174" xr:uid="{00000000-0005-0000-0000-00002D0C0000}"/>
    <cellStyle name="Good 4 2" xfId="1175" xr:uid="{00000000-0005-0000-0000-00002E0C0000}"/>
    <cellStyle name="Good 5" xfId="1176" xr:uid="{00000000-0005-0000-0000-00002F0C0000}"/>
    <cellStyle name="Good 6" xfId="1177" xr:uid="{00000000-0005-0000-0000-0000300C0000}"/>
    <cellStyle name="Good 6 2" xfId="1178" xr:uid="{00000000-0005-0000-0000-0000310C0000}"/>
    <cellStyle name="Good 7" xfId="1179" xr:uid="{00000000-0005-0000-0000-0000320C0000}"/>
    <cellStyle name="Good 7 2" xfId="1180" xr:uid="{00000000-0005-0000-0000-0000330C0000}"/>
    <cellStyle name="Heading 1" xfId="1181" xr:uid="{00000000-0005-0000-0000-0000340C0000}"/>
    <cellStyle name="Heading 1 2" xfId="1182" xr:uid="{00000000-0005-0000-0000-0000350C0000}"/>
    <cellStyle name="Heading 1 2 10" xfId="1183" xr:uid="{00000000-0005-0000-0000-0000360C0000}"/>
    <cellStyle name="Heading 1 2 10 2" xfId="6993" xr:uid="{00000000-0005-0000-0000-0000370C0000}"/>
    <cellStyle name="Heading 1 2 11" xfId="6994" xr:uid="{00000000-0005-0000-0000-0000380C0000}"/>
    <cellStyle name="Heading 1 2 12" xfId="6995" xr:uid="{00000000-0005-0000-0000-0000390C0000}"/>
    <cellStyle name="Heading 1 2 13" xfId="6996" xr:uid="{00000000-0005-0000-0000-00003A0C0000}"/>
    <cellStyle name="Heading 1 2 14" xfId="6997" xr:uid="{00000000-0005-0000-0000-00003B0C0000}"/>
    <cellStyle name="Heading 1 2 15" xfId="6998" xr:uid="{00000000-0005-0000-0000-00003C0C0000}"/>
    <cellStyle name="Heading 1 2 16" xfId="6999" xr:uid="{00000000-0005-0000-0000-00003D0C0000}"/>
    <cellStyle name="Heading 1 2 17" xfId="7000" xr:uid="{00000000-0005-0000-0000-00003E0C0000}"/>
    <cellStyle name="Heading 1 2 18" xfId="7001" xr:uid="{00000000-0005-0000-0000-00003F0C0000}"/>
    <cellStyle name="Heading 1 2 19" xfId="7002" xr:uid="{00000000-0005-0000-0000-0000400C0000}"/>
    <cellStyle name="Heading 1 2 2" xfId="1184" xr:uid="{00000000-0005-0000-0000-0000410C0000}"/>
    <cellStyle name="Heading 1 2 20" xfId="7003" xr:uid="{00000000-0005-0000-0000-0000420C0000}"/>
    <cellStyle name="Heading 1 2 21" xfId="7004" xr:uid="{00000000-0005-0000-0000-0000430C0000}"/>
    <cellStyle name="Heading 1 2 22" xfId="7005" xr:uid="{00000000-0005-0000-0000-0000440C0000}"/>
    <cellStyle name="Heading 1 2 23" xfId="7006" xr:uid="{00000000-0005-0000-0000-0000450C0000}"/>
    <cellStyle name="Heading 1 2 24" xfId="7007" xr:uid="{00000000-0005-0000-0000-0000460C0000}"/>
    <cellStyle name="Heading 1 2 25" xfId="7008" xr:uid="{00000000-0005-0000-0000-0000470C0000}"/>
    <cellStyle name="Heading 1 2 26" xfId="7009" xr:uid="{00000000-0005-0000-0000-0000480C0000}"/>
    <cellStyle name="Heading 1 2 3" xfId="1185" xr:uid="{00000000-0005-0000-0000-0000490C0000}"/>
    <cellStyle name="Heading 1 2 3 2" xfId="1186" xr:uid="{00000000-0005-0000-0000-00004A0C0000}"/>
    <cellStyle name="Heading 1 2 3 2 2" xfId="7010" xr:uid="{00000000-0005-0000-0000-00004B0C0000}"/>
    <cellStyle name="Heading 1 2 3 3" xfId="1187" xr:uid="{00000000-0005-0000-0000-00004C0C0000}"/>
    <cellStyle name="Heading 1 2 3 3 2" xfId="7011" xr:uid="{00000000-0005-0000-0000-00004D0C0000}"/>
    <cellStyle name="Heading 1 2 3 4" xfId="1188" xr:uid="{00000000-0005-0000-0000-00004E0C0000}"/>
    <cellStyle name="Heading 1 2 3 4 2" xfId="7012" xr:uid="{00000000-0005-0000-0000-00004F0C0000}"/>
    <cellStyle name="Heading 1 2 3 5" xfId="1189" xr:uid="{00000000-0005-0000-0000-0000500C0000}"/>
    <cellStyle name="Heading 1 2 3 5 2" xfId="7013" xr:uid="{00000000-0005-0000-0000-0000510C0000}"/>
    <cellStyle name="Heading 1 2 3 6" xfId="1190" xr:uid="{00000000-0005-0000-0000-0000520C0000}"/>
    <cellStyle name="Heading 1 2 3 6 2" xfId="7014" xr:uid="{00000000-0005-0000-0000-0000530C0000}"/>
    <cellStyle name="Heading 1 2 3 7" xfId="1191" xr:uid="{00000000-0005-0000-0000-0000540C0000}"/>
    <cellStyle name="Heading 1 2 3 7 2" xfId="7015" xr:uid="{00000000-0005-0000-0000-0000550C0000}"/>
    <cellStyle name="Heading 1 2 3 8" xfId="1192" xr:uid="{00000000-0005-0000-0000-0000560C0000}"/>
    <cellStyle name="Heading 1 2 3 8 2" xfId="7016" xr:uid="{00000000-0005-0000-0000-0000570C0000}"/>
    <cellStyle name="Heading 1 2 3 9" xfId="7017" xr:uid="{00000000-0005-0000-0000-0000580C0000}"/>
    <cellStyle name="Heading 1 2 4" xfId="1193" xr:uid="{00000000-0005-0000-0000-0000590C0000}"/>
    <cellStyle name="Heading 1 2 4 10" xfId="7018" xr:uid="{00000000-0005-0000-0000-00005A0C0000}"/>
    <cellStyle name="Heading 1 2 4 2" xfId="7019" xr:uid="{00000000-0005-0000-0000-00005B0C0000}"/>
    <cellStyle name="Heading 1 2 4 3" xfId="7020" xr:uid="{00000000-0005-0000-0000-00005C0C0000}"/>
    <cellStyle name="Heading 1 2 4 4" xfId="7021" xr:uid="{00000000-0005-0000-0000-00005D0C0000}"/>
    <cellStyle name="Heading 1 2 4 5" xfId="7022" xr:uid="{00000000-0005-0000-0000-00005E0C0000}"/>
    <cellStyle name="Heading 1 2 4 6" xfId="7023" xr:uid="{00000000-0005-0000-0000-00005F0C0000}"/>
    <cellStyle name="Heading 1 2 4 7" xfId="7024" xr:uid="{00000000-0005-0000-0000-0000600C0000}"/>
    <cellStyle name="Heading 1 2 4 8" xfId="7025" xr:uid="{00000000-0005-0000-0000-0000610C0000}"/>
    <cellStyle name="Heading 1 2 4 9" xfId="7026" xr:uid="{00000000-0005-0000-0000-0000620C0000}"/>
    <cellStyle name="Heading 1 2 5" xfId="1194" xr:uid="{00000000-0005-0000-0000-0000630C0000}"/>
    <cellStyle name="Heading 1 2 6" xfId="1195" xr:uid="{00000000-0005-0000-0000-0000640C0000}"/>
    <cellStyle name="Heading 1 2 7" xfId="1196" xr:uid="{00000000-0005-0000-0000-0000650C0000}"/>
    <cellStyle name="Heading 1 2 8" xfId="1197" xr:uid="{00000000-0005-0000-0000-0000660C0000}"/>
    <cellStyle name="Heading 1 2 9" xfId="1198" xr:uid="{00000000-0005-0000-0000-0000670C0000}"/>
    <cellStyle name="Heading 1 2_Blood_21months_EURO" xfId="1199" xr:uid="{00000000-0005-0000-0000-0000680C0000}"/>
    <cellStyle name="Heading 1 3" xfId="1200" xr:uid="{00000000-0005-0000-0000-0000690C0000}"/>
    <cellStyle name="Heading 1 3 2" xfId="1201" xr:uid="{00000000-0005-0000-0000-00006A0C0000}"/>
    <cellStyle name="Heading 1 3_GEO-H-GPIC 3 months budget_ALLdraft" xfId="1202" xr:uid="{00000000-0005-0000-0000-00006B0C0000}"/>
    <cellStyle name="Heading 1 4" xfId="1203" xr:uid="{00000000-0005-0000-0000-00006C0C0000}"/>
    <cellStyle name="Heading 1 4 2" xfId="1204" xr:uid="{00000000-0005-0000-0000-00006D0C0000}"/>
    <cellStyle name="Heading 1 4_GEO-H-GPIC 3 months budget_ALLdraft" xfId="1205" xr:uid="{00000000-0005-0000-0000-00006E0C0000}"/>
    <cellStyle name="Heading 1 5" xfId="1206" xr:uid="{00000000-0005-0000-0000-00006F0C0000}"/>
    <cellStyle name="Heading 1 6" xfId="1207" xr:uid="{00000000-0005-0000-0000-0000700C0000}"/>
    <cellStyle name="Heading 1 6 2" xfId="1208" xr:uid="{00000000-0005-0000-0000-0000710C0000}"/>
    <cellStyle name="Heading 1 7" xfId="1209" xr:uid="{00000000-0005-0000-0000-0000720C0000}"/>
    <cellStyle name="Heading 1 7 2" xfId="1210" xr:uid="{00000000-0005-0000-0000-0000730C0000}"/>
    <cellStyle name="Heading 2" xfId="1211" xr:uid="{00000000-0005-0000-0000-0000740C0000}"/>
    <cellStyle name="Heading 2 2" xfId="1212" xr:uid="{00000000-0005-0000-0000-0000750C0000}"/>
    <cellStyle name="Heading 2 2 10" xfId="1213" xr:uid="{00000000-0005-0000-0000-0000760C0000}"/>
    <cellStyle name="Heading 2 2 10 2" xfId="7027" xr:uid="{00000000-0005-0000-0000-0000770C0000}"/>
    <cellStyle name="Heading 2 2 11" xfId="7028" xr:uid="{00000000-0005-0000-0000-0000780C0000}"/>
    <cellStyle name="Heading 2 2 12" xfId="7029" xr:uid="{00000000-0005-0000-0000-0000790C0000}"/>
    <cellStyle name="Heading 2 2 13" xfId="7030" xr:uid="{00000000-0005-0000-0000-00007A0C0000}"/>
    <cellStyle name="Heading 2 2 14" xfId="7031" xr:uid="{00000000-0005-0000-0000-00007B0C0000}"/>
    <cellStyle name="Heading 2 2 15" xfId="7032" xr:uid="{00000000-0005-0000-0000-00007C0C0000}"/>
    <cellStyle name="Heading 2 2 16" xfId="7033" xr:uid="{00000000-0005-0000-0000-00007D0C0000}"/>
    <cellStyle name="Heading 2 2 17" xfId="7034" xr:uid="{00000000-0005-0000-0000-00007E0C0000}"/>
    <cellStyle name="Heading 2 2 18" xfId="7035" xr:uid="{00000000-0005-0000-0000-00007F0C0000}"/>
    <cellStyle name="Heading 2 2 19" xfId="7036" xr:uid="{00000000-0005-0000-0000-0000800C0000}"/>
    <cellStyle name="Heading 2 2 2" xfId="1214" xr:uid="{00000000-0005-0000-0000-0000810C0000}"/>
    <cellStyle name="Heading 2 2 20" xfId="7037" xr:uid="{00000000-0005-0000-0000-0000820C0000}"/>
    <cellStyle name="Heading 2 2 21" xfId="7038" xr:uid="{00000000-0005-0000-0000-0000830C0000}"/>
    <cellStyle name="Heading 2 2 22" xfId="7039" xr:uid="{00000000-0005-0000-0000-0000840C0000}"/>
    <cellStyle name="Heading 2 2 23" xfId="7040" xr:uid="{00000000-0005-0000-0000-0000850C0000}"/>
    <cellStyle name="Heading 2 2 24" xfId="7041" xr:uid="{00000000-0005-0000-0000-0000860C0000}"/>
    <cellStyle name="Heading 2 2 25" xfId="7042" xr:uid="{00000000-0005-0000-0000-0000870C0000}"/>
    <cellStyle name="Heading 2 2 26" xfId="7043" xr:uid="{00000000-0005-0000-0000-0000880C0000}"/>
    <cellStyle name="Heading 2 2 3" xfId="1215" xr:uid="{00000000-0005-0000-0000-0000890C0000}"/>
    <cellStyle name="Heading 2 2 3 2" xfId="1216" xr:uid="{00000000-0005-0000-0000-00008A0C0000}"/>
    <cellStyle name="Heading 2 2 3 2 2" xfId="7044" xr:uid="{00000000-0005-0000-0000-00008B0C0000}"/>
    <cellStyle name="Heading 2 2 3 3" xfId="1217" xr:uid="{00000000-0005-0000-0000-00008C0C0000}"/>
    <cellStyle name="Heading 2 2 3 3 2" xfId="7045" xr:uid="{00000000-0005-0000-0000-00008D0C0000}"/>
    <cellStyle name="Heading 2 2 3 4" xfId="1218" xr:uid="{00000000-0005-0000-0000-00008E0C0000}"/>
    <cellStyle name="Heading 2 2 3 4 2" xfId="7046" xr:uid="{00000000-0005-0000-0000-00008F0C0000}"/>
    <cellStyle name="Heading 2 2 3 5" xfId="1219" xr:uid="{00000000-0005-0000-0000-0000900C0000}"/>
    <cellStyle name="Heading 2 2 3 5 2" xfId="7047" xr:uid="{00000000-0005-0000-0000-0000910C0000}"/>
    <cellStyle name="Heading 2 2 3 6" xfId="1220" xr:uid="{00000000-0005-0000-0000-0000920C0000}"/>
    <cellStyle name="Heading 2 2 3 6 2" xfId="7048" xr:uid="{00000000-0005-0000-0000-0000930C0000}"/>
    <cellStyle name="Heading 2 2 3 7" xfId="1221" xr:uid="{00000000-0005-0000-0000-0000940C0000}"/>
    <cellStyle name="Heading 2 2 3 7 2" xfId="7049" xr:uid="{00000000-0005-0000-0000-0000950C0000}"/>
    <cellStyle name="Heading 2 2 3 8" xfId="1222" xr:uid="{00000000-0005-0000-0000-0000960C0000}"/>
    <cellStyle name="Heading 2 2 3 8 2" xfId="7050" xr:uid="{00000000-0005-0000-0000-0000970C0000}"/>
    <cellStyle name="Heading 2 2 3 9" xfId="7051" xr:uid="{00000000-0005-0000-0000-0000980C0000}"/>
    <cellStyle name="Heading 2 2 4" xfId="1223" xr:uid="{00000000-0005-0000-0000-0000990C0000}"/>
    <cellStyle name="Heading 2 2 4 10" xfId="7052" xr:uid="{00000000-0005-0000-0000-00009A0C0000}"/>
    <cellStyle name="Heading 2 2 4 2" xfId="7053" xr:uid="{00000000-0005-0000-0000-00009B0C0000}"/>
    <cellStyle name="Heading 2 2 4 3" xfId="7054" xr:uid="{00000000-0005-0000-0000-00009C0C0000}"/>
    <cellStyle name="Heading 2 2 4 4" xfId="7055" xr:uid="{00000000-0005-0000-0000-00009D0C0000}"/>
    <cellStyle name="Heading 2 2 4 5" xfId="7056" xr:uid="{00000000-0005-0000-0000-00009E0C0000}"/>
    <cellStyle name="Heading 2 2 4 6" xfId="7057" xr:uid="{00000000-0005-0000-0000-00009F0C0000}"/>
    <cellStyle name="Heading 2 2 4 7" xfId="7058" xr:uid="{00000000-0005-0000-0000-0000A00C0000}"/>
    <cellStyle name="Heading 2 2 4 8" xfId="7059" xr:uid="{00000000-0005-0000-0000-0000A10C0000}"/>
    <cellStyle name="Heading 2 2 4 9" xfId="7060" xr:uid="{00000000-0005-0000-0000-0000A20C0000}"/>
    <cellStyle name="Heading 2 2 5" xfId="1224" xr:uid="{00000000-0005-0000-0000-0000A30C0000}"/>
    <cellStyle name="Heading 2 2 6" xfId="1225" xr:uid="{00000000-0005-0000-0000-0000A40C0000}"/>
    <cellStyle name="Heading 2 2 7" xfId="1226" xr:uid="{00000000-0005-0000-0000-0000A50C0000}"/>
    <cellStyle name="Heading 2 2 8" xfId="1227" xr:uid="{00000000-0005-0000-0000-0000A60C0000}"/>
    <cellStyle name="Heading 2 2 9" xfId="1228" xr:uid="{00000000-0005-0000-0000-0000A70C0000}"/>
    <cellStyle name="Heading 2 2_Blood_21months_EURO" xfId="1229" xr:uid="{00000000-0005-0000-0000-0000A80C0000}"/>
    <cellStyle name="Heading 2 3" xfId="1230" xr:uid="{00000000-0005-0000-0000-0000A90C0000}"/>
    <cellStyle name="Heading 2 3 2" xfId="1231" xr:uid="{00000000-0005-0000-0000-0000AA0C0000}"/>
    <cellStyle name="Heading 2 3_GEO-H-GPIC 3 months budget_ALLdraft" xfId="1232" xr:uid="{00000000-0005-0000-0000-0000AB0C0000}"/>
    <cellStyle name="Heading 2 4" xfId="1233" xr:uid="{00000000-0005-0000-0000-0000AC0C0000}"/>
    <cellStyle name="Heading 2 4 2" xfId="1234" xr:uid="{00000000-0005-0000-0000-0000AD0C0000}"/>
    <cellStyle name="Heading 2 4_GEO-H-GPIC 3 months budget_ALLdraft" xfId="1235" xr:uid="{00000000-0005-0000-0000-0000AE0C0000}"/>
    <cellStyle name="Heading 2 5" xfId="1236" xr:uid="{00000000-0005-0000-0000-0000AF0C0000}"/>
    <cellStyle name="Heading 2 6" xfId="1237" xr:uid="{00000000-0005-0000-0000-0000B00C0000}"/>
    <cellStyle name="Heading 2 6 2" xfId="1238" xr:uid="{00000000-0005-0000-0000-0000B10C0000}"/>
    <cellStyle name="Heading 2 7" xfId="1239" xr:uid="{00000000-0005-0000-0000-0000B20C0000}"/>
    <cellStyle name="Heading 2 7 2" xfId="1240" xr:uid="{00000000-0005-0000-0000-0000B30C0000}"/>
    <cellStyle name="Heading 3" xfId="1241" xr:uid="{00000000-0005-0000-0000-0000B40C0000}"/>
    <cellStyle name="Heading 3 2" xfId="1242" xr:uid="{00000000-0005-0000-0000-0000B50C0000}"/>
    <cellStyle name="Heading 3 2 10" xfId="1243" xr:uid="{00000000-0005-0000-0000-0000B60C0000}"/>
    <cellStyle name="Heading 3 2 10 2" xfId="7061" xr:uid="{00000000-0005-0000-0000-0000B70C0000}"/>
    <cellStyle name="Heading 3 2 11" xfId="7062" xr:uid="{00000000-0005-0000-0000-0000B80C0000}"/>
    <cellStyle name="Heading 3 2 12" xfId="7063" xr:uid="{00000000-0005-0000-0000-0000B90C0000}"/>
    <cellStyle name="Heading 3 2 13" xfId="7064" xr:uid="{00000000-0005-0000-0000-0000BA0C0000}"/>
    <cellStyle name="Heading 3 2 14" xfId="7065" xr:uid="{00000000-0005-0000-0000-0000BB0C0000}"/>
    <cellStyle name="Heading 3 2 15" xfId="7066" xr:uid="{00000000-0005-0000-0000-0000BC0C0000}"/>
    <cellStyle name="Heading 3 2 16" xfId="7067" xr:uid="{00000000-0005-0000-0000-0000BD0C0000}"/>
    <cellStyle name="Heading 3 2 17" xfId="7068" xr:uid="{00000000-0005-0000-0000-0000BE0C0000}"/>
    <cellStyle name="Heading 3 2 18" xfId="7069" xr:uid="{00000000-0005-0000-0000-0000BF0C0000}"/>
    <cellStyle name="Heading 3 2 19" xfId="7070" xr:uid="{00000000-0005-0000-0000-0000C00C0000}"/>
    <cellStyle name="Heading 3 2 2" xfId="1244" xr:uid="{00000000-0005-0000-0000-0000C10C0000}"/>
    <cellStyle name="Heading 3 2 20" xfId="7071" xr:uid="{00000000-0005-0000-0000-0000C20C0000}"/>
    <cellStyle name="Heading 3 2 21" xfId="7072" xr:uid="{00000000-0005-0000-0000-0000C30C0000}"/>
    <cellStyle name="Heading 3 2 22" xfId="7073" xr:uid="{00000000-0005-0000-0000-0000C40C0000}"/>
    <cellStyle name="Heading 3 2 23" xfId="7074" xr:uid="{00000000-0005-0000-0000-0000C50C0000}"/>
    <cellStyle name="Heading 3 2 24" xfId="7075" xr:uid="{00000000-0005-0000-0000-0000C60C0000}"/>
    <cellStyle name="Heading 3 2 25" xfId="7076" xr:uid="{00000000-0005-0000-0000-0000C70C0000}"/>
    <cellStyle name="Heading 3 2 26" xfId="7077" xr:uid="{00000000-0005-0000-0000-0000C80C0000}"/>
    <cellStyle name="Heading 3 2 3" xfId="1245" xr:uid="{00000000-0005-0000-0000-0000C90C0000}"/>
    <cellStyle name="Heading 3 2 3 2" xfId="1246" xr:uid="{00000000-0005-0000-0000-0000CA0C0000}"/>
    <cellStyle name="Heading 3 2 3 2 2" xfId="7078" xr:uid="{00000000-0005-0000-0000-0000CB0C0000}"/>
    <cellStyle name="Heading 3 2 3 3" xfId="1247" xr:uid="{00000000-0005-0000-0000-0000CC0C0000}"/>
    <cellStyle name="Heading 3 2 3 3 2" xfId="7079" xr:uid="{00000000-0005-0000-0000-0000CD0C0000}"/>
    <cellStyle name="Heading 3 2 3 4" xfId="1248" xr:uid="{00000000-0005-0000-0000-0000CE0C0000}"/>
    <cellStyle name="Heading 3 2 3 4 2" xfId="7080" xr:uid="{00000000-0005-0000-0000-0000CF0C0000}"/>
    <cellStyle name="Heading 3 2 3 5" xfId="1249" xr:uid="{00000000-0005-0000-0000-0000D00C0000}"/>
    <cellStyle name="Heading 3 2 3 5 2" xfId="7081" xr:uid="{00000000-0005-0000-0000-0000D10C0000}"/>
    <cellStyle name="Heading 3 2 3 6" xfId="1250" xr:uid="{00000000-0005-0000-0000-0000D20C0000}"/>
    <cellStyle name="Heading 3 2 3 6 2" xfId="7082" xr:uid="{00000000-0005-0000-0000-0000D30C0000}"/>
    <cellStyle name="Heading 3 2 3 7" xfId="1251" xr:uid="{00000000-0005-0000-0000-0000D40C0000}"/>
    <cellStyle name="Heading 3 2 3 7 2" xfId="7083" xr:uid="{00000000-0005-0000-0000-0000D50C0000}"/>
    <cellStyle name="Heading 3 2 3 8" xfId="1252" xr:uid="{00000000-0005-0000-0000-0000D60C0000}"/>
    <cellStyle name="Heading 3 2 3 8 2" xfId="7084" xr:uid="{00000000-0005-0000-0000-0000D70C0000}"/>
    <cellStyle name="Heading 3 2 3 9" xfId="7085" xr:uid="{00000000-0005-0000-0000-0000D80C0000}"/>
    <cellStyle name="Heading 3 2 4" xfId="1253" xr:uid="{00000000-0005-0000-0000-0000D90C0000}"/>
    <cellStyle name="Heading 3 2 4 10" xfId="7086" xr:uid="{00000000-0005-0000-0000-0000DA0C0000}"/>
    <cellStyle name="Heading 3 2 4 2" xfId="7087" xr:uid="{00000000-0005-0000-0000-0000DB0C0000}"/>
    <cellStyle name="Heading 3 2 4 3" xfId="7088" xr:uid="{00000000-0005-0000-0000-0000DC0C0000}"/>
    <cellStyle name="Heading 3 2 4 4" xfId="7089" xr:uid="{00000000-0005-0000-0000-0000DD0C0000}"/>
    <cellStyle name="Heading 3 2 4 5" xfId="7090" xr:uid="{00000000-0005-0000-0000-0000DE0C0000}"/>
    <cellStyle name="Heading 3 2 4 6" xfId="7091" xr:uid="{00000000-0005-0000-0000-0000DF0C0000}"/>
    <cellStyle name="Heading 3 2 4 7" xfId="7092" xr:uid="{00000000-0005-0000-0000-0000E00C0000}"/>
    <cellStyle name="Heading 3 2 4 8" xfId="7093" xr:uid="{00000000-0005-0000-0000-0000E10C0000}"/>
    <cellStyle name="Heading 3 2 4 9" xfId="7094" xr:uid="{00000000-0005-0000-0000-0000E20C0000}"/>
    <cellStyle name="Heading 3 2 5" xfId="1254" xr:uid="{00000000-0005-0000-0000-0000E30C0000}"/>
    <cellStyle name="Heading 3 2 6" xfId="1255" xr:uid="{00000000-0005-0000-0000-0000E40C0000}"/>
    <cellStyle name="Heading 3 2 7" xfId="1256" xr:uid="{00000000-0005-0000-0000-0000E50C0000}"/>
    <cellStyle name="Heading 3 2 8" xfId="1257" xr:uid="{00000000-0005-0000-0000-0000E60C0000}"/>
    <cellStyle name="Heading 3 2 9" xfId="1258" xr:uid="{00000000-0005-0000-0000-0000E70C0000}"/>
    <cellStyle name="Heading 3 2_Blood_21months_EURO" xfId="1259" xr:uid="{00000000-0005-0000-0000-0000E80C0000}"/>
    <cellStyle name="Heading 3 3" xfId="1260" xr:uid="{00000000-0005-0000-0000-0000E90C0000}"/>
    <cellStyle name="Heading 3 3 2" xfId="1261" xr:uid="{00000000-0005-0000-0000-0000EA0C0000}"/>
    <cellStyle name="Heading 3 3_GEO-H-GPIC 3 months budget_ALLdraft" xfId="1262" xr:uid="{00000000-0005-0000-0000-0000EB0C0000}"/>
    <cellStyle name="Heading 3 4" xfId="1263" xr:uid="{00000000-0005-0000-0000-0000EC0C0000}"/>
    <cellStyle name="Heading 3 4 2" xfId="1264" xr:uid="{00000000-0005-0000-0000-0000ED0C0000}"/>
    <cellStyle name="Heading 3 4_GEO-H-GPIC 3 months budget_ALLdraft" xfId="1265" xr:uid="{00000000-0005-0000-0000-0000EE0C0000}"/>
    <cellStyle name="Heading 3 5" xfId="1266" xr:uid="{00000000-0005-0000-0000-0000EF0C0000}"/>
    <cellStyle name="Heading 3 6" xfId="1267" xr:uid="{00000000-0005-0000-0000-0000F00C0000}"/>
    <cellStyle name="Heading 3 6 2" xfId="1268" xr:uid="{00000000-0005-0000-0000-0000F10C0000}"/>
    <cellStyle name="Heading 3 7" xfId="1269" xr:uid="{00000000-0005-0000-0000-0000F20C0000}"/>
    <cellStyle name="Heading 3 7 2" xfId="1270" xr:uid="{00000000-0005-0000-0000-0000F30C0000}"/>
    <cellStyle name="Heading 4" xfId="1271" xr:uid="{00000000-0005-0000-0000-0000F40C0000}"/>
    <cellStyle name="Heading 4 2" xfId="1272" xr:uid="{00000000-0005-0000-0000-0000F50C0000}"/>
    <cellStyle name="Heading 4 2 10" xfId="1273" xr:uid="{00000000-0005-0000-0000-0000F60C0000}"/>
    <cellStyle name="Heading 4 2 10 2" xfId="7095" xr:uid="{00000000-0005-0000-0000-0000F70C0000}"/>
    <cellStyle name="Heading 4 2 11" xfId="7096" xr:uid="{00000000-0005-0000-0000-0000F80C0000}"/>
    <cellStyle name="Heading 4 2 12" xfId="7097" xr:uid="{00000000-0005-0000-0000-0000F90C0000}"/>
    <cellStyle name="Heading 4 2 13" xfId="7098" xr:uid="{00000000-0005-0000-0000-0000FA0C0000}"/>
    <cellStyle name="Heading 4 2 14" xfId="7099" xr:uid="{00000000-0005-0000-0000-0000FB0C0000}"/>
    <cellStyle name="Heading 4 2 15" xfId="7100" xr:uid="{00000000-0005-0000-0000-0000FC0C0000}"/>
    <cellStyle name="Heading 4 2 16" xfId="7101" xr:uid="{00000000-0005-0000-0000-0000FD0C0000}"/>
    <cellStyle name="Heading 4 2 17" xfId="7102" xr:uid="{00000000-0005-0000-0000-0000FE0C0000}"/>
    <cellStyle name="Heading 4 2 18" xfId="7103" xr:uid="{00000000-0005-0000-0000-0000FF0C0000}"/>
    <cellStyle name="Heading 4 2 19" xfId="7104" xr:uid="{00000000-0005-0000-0000-0000000D0000}"/>
    <cellStyle name="Heading 4 2 2" xfId="1274" xr:uid="{00000000-0005-0000-0000-0000010D0000}"/>
    <cellStyle name="Heading 4 2 20" xfId="7105" xr:uid="{00000000-0005-0000-0000-0000020D0000}"/>
    <cellStyle name="Heading 4 2 21" xfId="7106" xr:uid="{00000000-0005-0000-0000-0000030D0000}"/>
    <cellStyle name="Heading 4 2 22" xfId="7107" xr:uid="{00000000-0005-0000-0000-0000040D0000}"/>
    <cellStyle name="Heading 4 2 23" xfId="7108" xr:uid="{00000000-0005-0000-0000-0000050D0000}"/>
    <cellStyle name="Heading 4 2 24" xfId="7109" xr:uid="{00000000-0005-0000-0000-0000060D0000}"/>
    <cellStyle name="Heading 4 2 25" xfId="7110" xr:uid="{00000000-0005-0000-0000-0000070D0000}"/>
    <cellStyle name="Heading 4 2 26" xfId="7111" xr:uid="{00000000-0005-0000-0000-0000080D0000}"/>
    <cellStyle name="Heading 4 2 3" xfId="1275" xr:uid="{00000000-0005-0000-0000-0000090D0000}"/>
    <cellStyle name="Heading 4 2 3 2" xfId="1276" xr:uid="{00000000-0005-0000-0000-00000A0D0000}"/>
    <cellStyle name="Heading 4 2 3 2 2" xfId="7112" xr:uid="{00000000-0005-0000-0000-00000B0D0000}"/>
    <cellStyle name="Heading 4 2 3 3" xfId="1277" xr:uid="{00000000-0005-0000-0000-00000C0D0000}"/>
    <cellStyle name="Heading 4 2 3 3 2" xfId="7113" xr:uid="{00000000-0005-0000-0000-00000D0D0000}"/>
    <cellStyle name="Heading 4 2 3 4" xfId="1278" xr:uid="{00000000-0005-0000-0000-00000E0D0000}"/>
    <cellStyle name="Heading 4 2 3 4 2" xfId="7114" xr:uid="{00000000-0005-0000-0000-00000F0D0000}"/>
    <cellStyle name="Heading 4 2 3 5" xfId="1279" xr:uid="{00000000-0005-0000-0000-0000100D0000}"/>
    <cellStyle name="Heading 4 2 3 5 2" xfId="7115" xr:uid="{00000000-0005-0000-0000-0000110D0000}"/>
    <cellStyle name="Heading 4 2 3 6" xfId="1280" xr:uid="{00000000-0005-0000-0000-0000120D0000}"/>
    <cellStyle name="Heading 4 2 3 6 2" xfId="7116" xr:uid="{00000000-0005-0000-0000-0000130D0000}"/>
    <cellStyle name="Heading 4 2 3 7" xfId="1281" xr:uid="{00000000-0005-0000-0000-0000140D0000}"/>
    <cellStyle name="Heading 4 2 3 7 2" xfId="7117" xr:uid="{00000000-0005-0000-0000-0000150D0000}"/>
    <cellStyle name="Heading 4 2 3 8" xfId="1282" xr:uid="{00000000-0005-0000-0000-0000160D0000}"/>
    <cellStyle name="Heading 4 2 3 8 2" xfId="7118" xr:uid="{00000000-0005-0000-0000-0000170D0000}"/>
    <cellStyle name="Heading 4 2 3 9" xfId="7119" xr:uid="{00000000-0005-0000-0000-0000180D0000}"/>
    <cellStyle name="Heading 4 2 4" xfId="1283" xr:uid="{00000000-0005-0000-0000-0000190D0000}"/>
    <cellStyle name="Heading 4 2 4 10" xfId="7120" xr:uid="{00000000-0005-0000-0000-00001A0D0000}"/>
    <cellStyle name="Heading 4 2 4 2" xfId="7121" xr:uid="{00000000-0005-0000-0000-00001B0D0000}"/>
    <cellStyle name="Heading 4 2 4 3" xfId="7122" xr:uid="{00000000-0005-0000-0000-00001C0D0000}"/>
    <cellStyle name="Heading 4 2 4 4" xfId="7123" xr:uid="{00000000-0005-0000-0000-00001D0D0000}"/>
    <cellStyle name="Heading 4 2 4 5" xfId="7124" xr:uid="{00000000-0005-0000-0000-00001E0D0000}"/>
    <cellStyle name="Heading 4 2 4 6" xfId="7125" xr:uid="{00000000-0005-0000-0000-00001F0D0000}"/>
    <cellStyle name="Heading 4 2 4 7" xfId="7126" xr:uid="{00000000-0005-0000-0000-0000200D0000}"/>
    <cellStyle name="Heading 4 2 4 8" xfId="7127" xr:uid="{00000000-0005-0000-0000-0000210D0000}"/>
    <cellStyle name="Heading 4 2 4 9" xfId="7128" xr:uid="{00000000-0005-0000-0000-0000220D0000}"/>
    <cellStyle name="Heading 4 2 5" xfId="1284" xr:uid="{00000000-0005-0000-0000-0000230D0000}"/>
    <cellStyle name="Heading 4 2 6" xfId="1285" xr:uid="{00000000-0005-0000-0000-0000240D0000}"/>
    <cellStyle name="Heading 4 2 7" xfId="1286" xr:uid="{00000000-0005-0000-0000-0000250D0000}"/>
    <cellStyle name="Heading 4 2 8" xfId="1287" xr:uid="{00000000-0005-0000-0000-0000260D0000}"/>
    <cellStyle name="Heading 4 2 9" xfId="1288" xr:uid="{00000000-0005-0000-0000-0000270D0000}"/>
    <cellStyle name="Heading 4 2_Blood_21months_EURO" xfId="1289" xr:uid="{00000000-0005-0000-0000-0000280D0000}"/>
    <cellStyle name="Heading 4 3" xfId="1290" xr:uid="{00000000-0005-0000-0000-0000290D0000}"/>
    <cellStyle name="Heading 4 3 2" xfId="1291" xr:uid="{00000000-0005-0000-0000-00002A0D0000}"/>
    <cellStyle name="Heading 4 4" xfId="1292" xr:uid="{00000000-0005-0000-0000-00002B0D0000}"/>
    <cellStyle name="Heading 4 4 2" xfId="1293" xr:uid="{00000000-0005-0000-0000-00002C0D0000}"/>
    <cellStyle name="Heading 4 5" xfId="1294" xr:uid="{00000000-0005-0000-0000-00002D0D0000}"/>
    <cellStyle name="Heading 4 6" xfId="1295" xr:uid="{00000000-0005-0000-0000-00002E0D0000}"/>
    <cellStyle name="Heading 4 6 2" xfId="1296" xr:uid="{00000000-0005-0000-0000-00002F0D0000}"/>
    <cellStyle name="Heading 4 7" xfId="1297" xr:uid="{00000000-0005-0000-0000-0000300D0000}"/>
    <cellStyle name="Heading 4 7 2" xfId="1298" xr:uid="{00000000-0005-0000-0000-0000310D0000}"/>
    <cellStyle name="Heading2" xfId="1299" xr:uid="{00000000-0005-0000-0000-0000320D0000}"/>
    <cellStyle name="Horizontal" xfId="1300" xr:uid="{00000000-0005-0000-0000-0000330D0000}"/>
    <cellStyle name="Hyperlink 2" xfId="1301" xr:uid="{00000000-0005-0000-0000-0000340D0000}"/>
    <cellStyle name="Hyperlink 2 2" xfId="1302" xr:uid="{00000000-0005-0000-0000-0000350D0000}"/>
    <cellStyle name="Hyperlink 2 3" xfId="1303" xr:uid="{00000000-0005-0000-0000-0000360D0000}"/>
    <cellStyle name="Hyperlink 2 4" xfId="1304" xr:uid="{00000000-0005-0000-0000-0000370D0000}"/>
    <cellStyle name="Hyperlink 2 5" xfId="1305" xr:uid="{00000000-0005-0000-0000-0000380D0000}"/>
    <cellStyle name="Hyperlink 2 6" xfId="1306" xr:uid="{00000000-0005-0000-0000-0000390D0000}"/>
    <cellStyle name="Hyperlink 2 7" xfId="1307" xr:uid="{00000000-0005-0000-0000-00003A0D0000}"/>
    <cellStyle name="Hyperlink 2 8" xfId="1308" xr:uid="{00000000-0005-0000-0000-00003B0D0000}"/>
    <cellStyle name="Hyperlink 2 9" xfId="1309" xr:uid="{00000000-0005-0000-0000-00003C0D0000}"/>
    <cellStyle name="Hyperlink_Brighton GF Close out budget version 2_5Aug08" xfId="1310" xr:uid="{00000000-0005-0000-0000-00003D0D0000}"/>
    <cellStyle name="Input" xfId="1311" xr:uid="{00000000-0005-0000-0000-00003E0D0000}"/>
    <cellStyle name="Input 2" xfId="1312" xr:uid="{00000000-0005-0000-0000-00003F0D0000}"/>
    <cellStyle name="Input 2 10" xfId="7129" xr:uid="{00000000-0005-0000-0000-0000400D0000}"/>
    <cellStyle name="Input 2 11" xfId="7130" xr:uid="{00000000-0005-0000-0000-0000410D0000}"/>
    <cellStyle name="Input 2 12" xfId="7131" xr:uid="{00000000-0005-0000-0000-0000420D0000}"/>
    <cellStyle name="Input 2 2" xfId="1313" xr:uid="{00000000-0005-0000-0000-0000430D0000}"/>
    <cellStyle name="Input 2 3" xfId="1314" xr:uid="{00000000-0005-0000-0000-0000440D0000}"/>
    <cellStyle name="Input 2 4" xfId="1315" xr:uid="{00000000-0005-0000-0000-0000450D0000}"/>
    <cellStyle name="Input 2 5" xfId="1316" xr:uid="{00000000-0005-0000-0000-0000460D0000}"/>
    <cellStyle name="Input 2 6" xfId="1317" xr:uid="{00000000-0005-0000-0000-0000470D0000}"/>
    <cellStyle name="Input 2 7" xfId="1318" xr:uid="{00000000-0005-0000-0000-0000480D0000}"/>
    <cellStyle name="Input 2 8" xfId="1319" xr:uid="{00000000-0005-0000-0000-0000490D0000}"/>
    <cellStyle name="Input 2 9" xfId="1320" xr:uid="{00000000-0005-0000-0000-00004A0D0000}"/>
    <cellStyle name="Input 2_Blood_21months_EURO" xfId="1321" xr:uid="{00000000-0005-0000-0000-00004B0D0000}"/>
    <cellStyle name="Input 3" xfId="1322" xr:uid="{00000000-0005-0000-0000-00004C0D0000}"/>
    <cellStyle name="Input 3 2" xfId="1323" xr:uid="{00000000-0005-0000-0000-00004D0D0000}"/>
    <cellStyle name="Input 3_GEO-H-GPIC 3 months budget_ALLdraft" xfId="1324" xr:uid="{00000000-0005-0000-0000-00004E0D0000}"/>
    <cellStyle name="Input 4" xfId="1325" xr:uid="{00000000-0005-0000-0000-00004F0D0000}"/>
    <cellStyle name="Input 4 2" xfId="1326" xr:uid="{00000000-0005-0000-0000-0000500D0000}"/>
    <cellStyle name="Input 4_GEO-H-GPIC 3 months budget_ALLdraft" xfId="1327" xr:uid="{00000000-0005-0000-0000-0000510D0000}"/>
    <cellStyle name="Input 5" xfId="1328" xr:uid="{00000000-0005-0000-0000-0000520D0000}"/>
    <cellStyle name="Input 6" xfId="1329" xr:uid="{00000000-0005-0000-0000-0000530D0000}"/>
    <cellStyle name="Input 6 2" xfId="1330" xr:uid="{00000000-0005-0000-0000-0000540D0000}"/>
    <cellStyle name="Input 7" xfId="1331" xr:uid="{00000000-0005-0000-0000-0000550D0000}"/>
    <cellStyle name="Input 7 2" xfId="1332" xr:uid="{00000000-0005-0000-0000-0000560D0000}"/>
    <cellStyle name="Linked Cell" xfId="1333" xr:uid="{00000000-0005-0000-0000-0000570D0000}"/>
    <cellStyle name="Linked Cell 2" xfId="1334" xr:uid="{00000000-0005-0000-0000-0000580D0000}"/>
    <cellStyle name="Linked Cell 2 10" xfId="7132" xr:uid="{00000000-0005-0000-0000-0000590D0000}"/>
    <cellStyle name="Linked Cell 2 11" xfId="7133" xr:uid="{00000000-0005-0000-0000-00005A0D0000}"/>
    <cellStyle name="Linked Cell 2 12" xfId="7134" xr:uid="{00000000-0005-0000-0000-00005B0D0000}"/>
    <cellStyle name="Linked Cell 2 2" xfId="1335" xr:uid="{00000000-0005-0000-0000-00005C0D0000}"/>
    <cellStyle name="Linked Cell 2 3" xfId="1336" xr:uid="{00000000-0005-0000-0000-00005D0D0000}"/>
    <cellStyle name="Linked Cell 2 4" xfId="1337" xr:uid="{00000000-0005-0000-0000-00005E0D0000}"/>
    <cellStyle name="Linked Cell 2 5" xfId="1338" xr:uid="{00000000-0005-0000-0000-00005F0D0000}"/>
    <cellStyle name="Linked Cell 2 6" xfId="1339" xr:uid="{00000000-0005-0000-0000-0000600D0000}"/>
    <cellStyle name="Linked Cell 2 7" xfId="1340" xr:uid="{00000000-0005-0000-0000-0000610D0000}"/>
    <cellStyle name="Linked Cell 2 8" xfId="1341" xr:uid="{00000000-0005-0000-0000-0000620D0000}"/>
    <cellStyle name="Linked Cell 2 9" xfId="1342" xr:uid="{00000000-0005-0000-0000-0000630D0000}"/>
    <cellStyle name="Linked Cell 2_Blood_21months_EURO" xfId="1343" xr:uid="{00000000-0005-0000-0000-0000640D0000}"/>
    <cellStyle name="Linked Cell 3" xfId="1344" xr:uid="{00000000-0005-0000-0000-0000650D0000}"/>
    <cellStyle name="Linked Cell 3 2" xfId="1345" xr:uid="{00000000-0005-0000-0000-0000660D0000}"/>
    <cellStyle name="Linked Cell 3_GEO-H-GPIC 3 months budget_ALLdraft" xfId="1346" xr:uid="{00000000-0005-0000-0000-0000670D0000}"/>
    <cellStyle name="Linked Cell 4" xfId="1347" xr:uid="{00000000-0005-0000-0000-0000680D0000}"/>
    <cellStyle name="Linked Cell 4 2" xfId="1348" xr:uid="{00000000-0005-0000-0000-0000690D0000}"/>
    <cellStyle name="Linked Cell 4_GEO-H-GPIC 3 months budget_ALLdraft" xfId="1349" xr:uid="{00000000-0005-0000-0000-00006A0D0000}"/>
    <cellStyle name="Linked Cell 5" xfId="1350" xr:uid="{00000000-0005-0000-0000-00006B0D0000}"/>
    <cellStyle name="Linked Cell 6" xfId="1351" xr:uid="{00000000-0005-0000-0000-00006C0D0000}"/>
    <cellStyle name="Linked Cell 6 2" xfId="1352" xr:uid="{00000000-0005-0000-0000-00006D0D0000}"/>
    <cellStyle name="Linked Cell 7" xfId="1353" xr:uid="{00000000-0005-0000-0000-00006E0D0000}"/>
    <cellStyle name="Linked Cell 7 2" xfId="1354" xr:uid="{00000000-0005-0000-0000-00006F0D0000}"/>
    <cellStyle name="Milliers_budget-revised-julie" xfId="1355" xr:uid="{00000000-0005-0000-0000-0000700D0000}"/>
    <cellStyle name="Neutral" xfId="1356" xr:uid="{00000000-0005-0000-0000-0000710D0000}"/>
    <cellStyle name="Neutral 2" xfId="1357" xr:uid="{00000000-0005-0000-0000-0000720D0000}"/>
    <cellStyle name="Neutral 2 10" xfId="7135" xr:uid="{00000000-0005-0000-0000-0000730D0000}"/>
    <cellStyle name="Neutral 2 11" xfId="7136" xr:uid="{00000000-0005-0000-0000-0000740D0000}"/>
    <cellStyle name="Neutral 2 12" xfId="7137" xr:uid="{00000000-0005-0000-0000-0000750D0000}"/>
    <cellStyle name="Neutral 2 2" xfId="1358" xr:uid="{00000000-0005-0000-0000-0000760D0000}"/>
    <cellStyle name="Neutral 2 3" xfId="1359" xr:uid="{00000000-0005-0000-0000-0000770D0000}"/>
    <cellStyle name="Neutral 2 4" xfId="1360" xr:uid="{00000000-0005-0000-0000-0000780D0000}"/>
    <cellStyle name="Neutral 2 5" xfId="1361" xr:uid="{00000000-0005-0000-0000-0000790D0000}"/>
    <cellStyle name="Neutral 2 6" xfId="1362" xr:uid="{00000000-0005-0000-0000-00007A0D0000}"/>
    <cellStyle name="Neutral 2 7" xfId="1363" xr:uid="{00000000-0005-0000-0000-00007B0D0000}"/>
    <cellStyle name="Neutral 2 8" xfId="1364" xr:uid="{00000000-0005-0000-0000-00007C0D0000}"/>
    <cellStyle name="Neutral 2 9" xfId="1365" xr:uid="{00000000-0005-0000-0000-00007D0D0000}"/>
    <cellStyle name="Neutral 3" xfId="1366" xr:uid="{00000000-0005-0000-0000-00007E0D0000}"/>
    <cellStyle name="Neutral 3 2" xfId="1367" xr:uid="{00000000-0005-0000-0000-00007F0D0000}"/>
    <cellStyle name="Neutral 4" xfId="1368" xr:uid="{00000000-0005-0000-0000-0000800D0000}"/>
    <cellStyle name="Neutral 4 2" xfId="1369" xr:uid="{00000000-0005-0000-0000-0000810D0000}"/>
    <cellStyle name="Neutral 5" xfId="1370" xr:uid="{00000000-0005-0000-0000-0000820D0000}"/>
    <cellStyle name="Neutral 6" xfId="1371" xr:uid="{00000000-0005-0000-0000-0000830D0000}"/>
    <cellStyle name="Neutral 6 2" xfId="1372" xr:uid="{00000000-0005-0000-0000-0000840D0000}"/>
    <cellStyle name="Neutral 7" xfId="1373" xr:uid="{00000000-0005-0000-0000-0000850D0000}"/>
    <cellStyle name="Neutral 7 2" xfId="1374" xr:uid="{00000000-0005-0000-0000-0000860D0000}"/>
    <cellStyle name="Normal 10" xfId="1375" xr:uid="{00000000-0005-0000-0000-0000870D0000}"/>
    <cellStyle name="Normal 10 10" xfId="7138" xr:uid="{00000000-0005-0000-0000-0000880D0000}"/>
    <cellStyle name="Normal 10 2" xfId="7139" xr:uid="{00000000-0005-0000-0000-0000890D0000}"/>
    <cellStyle name="Normal 10 3" xfId="7140" xr:uid="{00000000-0005-0000-0000-00008A0D0000}"/>
    <cellStyle name="Normal 10 4" xfId="7141" xr:uid="{00000000-0005-0000-0000-00008B0D0000}"/>
    <cellStyle name="Normal 10 5" xfId="7142" xr:uid="{00000000-0005-0000-0000-00008C0D0000}"/>
    <cellStyle name="Normal 10 6" xfId="7143" xr:uid="{00000000-0005-0000-0000-00008D0D0000}"/>
    <cellStyle name="Normal 10 7" xfId="7144" xr:uid="{00000000-0005-0000-0000-00008E0D0000}"/>
    <cellStyle name="Normal 10 8" xfId="7145" xr:uid="{00000000-0005-0000-0000-00008F0D0000}"/>
    <cellStyle name="Normal 10 9" xfId="7146" xr:uid="{00000000-0005-0000-0000-0000900D0000}"/>
    <cellStyle name="Normal 11" xfId="1376" xr:uid="{00000000-0005-0000-0000-0000910D0000}"/>
    <cellStyle name="Normal 11 10" xfId="7147" xr:uid="{00000000-0005-0000-0000-0000920D0000}"/>
    <cellStyle name="Normal 11 11" xfId="7148" xr:uid="{00000000-0005-0000-0000-0000930D0000}"/>
    <cellStyle name="Normal 11 12" xfId="7149" xr:uid="{00000000-0005-0000-0000-0000940D0000}"/>
    <cellStyle name="Normal 11 2" xfId="7150" xr:uid="{00000000-0005-0000-0000-0000950D0000}"/>
    <cellStyle name="Normal 11 3" xfId="7151" xr:uid="{00000000-0005-0000-0000-0000960D0000}"/>
    <cellStyle name="Normal 11 4" xfId="7152" xr:uid="{00000000-0005-0000-0000-0000970D0000}"/>
    <cellStyle name="Normal 11 5" xfId="7153" xr:uid="{00000000-0005-0000-0000-0000980D0000}"/>
    <cellStyle name="Normal 11 6" xfId="7154" xr:uid="{00000000-0005-0000-0000-0000990D0000}"/>
    <cellStyle name="Normal 11 7" xfId="7155" xr:uid="{00000000-0005-0000-0000-00009A0D0000}"/>
    <cellStyle name="Normal 11 8" xfId="7156" xr:uid="{00000000-0005-0000-0000-00009B0D0000}"/>
    <cellStyle name="Normal 11 9" xfId="7157" xr:uid="{00000000-0005-0000-0000-00009C0D0000}"/>
    <cellStyle name="Normal 12" xfId="1377" xr:uid="{00000000-0005-0000-0000-00009D0D0000}"/>
    <cellStyle name="Normal 12 10" xfId="7158" xr:uid="{00000000-0005-0000-0000-00009E0D0000}"/>
    <cellStyle name="Normal 12 11" xfId="7159" xr:uid="{00000000-0005-0000-0000-00009F0D0000}"/>
    <cellStyle name="Normal 12 2" xfId="1378" xr:uid="{00000000-0005-0000-0000-0000A00D0000}"/>
    <cellStyle name="Normal 12 3" xfId="7160" xr:uid="{00000000-0005-0000-0000-0000A10D0000}"/>
    <cellStyle name="Normal 12 4" xfId="7161" xr:uid="{00000000-0005-0000-0000-0000A20D0000}"/>
    <cellStyle name="Normal 12 5" xfId="7162" xr:uid="{00000000-0005-0000-0000-0000A30D0000}"/>
    <cellStyle name="Normal 12 6" xfId="7163" xr:uid="{00000000-0005-0000-0000-0000A40D0000}"/>
    <cellStyle name="Normal 12 7" xfId="7164" xr:uid="{00000000-0005-0000-0000-0000A50D0000}"/>
    <cellStyle name="Normal 12 8" xfId="7165" xr:uid="{00000000-0005-0000-0000-0000A60D0000}"/>
    <cellStyle name="Normal 12 9" xfId="7166" xr:uid="{00000000-0005-0000-0000-0000A70D0000}"/>
    <cellStyle name="Normal 13" xfId="1379" xr:uid="{00000000-0005-0000-0000-0000A80D0000}"/>
    <cellStyle name="Normal 13 10" xfId="7167" xr:uid="{00000000-0005-0000-0000-0000A90D0000}"/>
    <cellStyle name="Normal 13 11" xfId="7168" xr:uid="{00000000-0005-0000-0000-0000AA0D0000}"/>
    <cellStyle name="Normal 13 2" xfId="1380" xr:uid="{00000000-0005-0000-0000-0000AB0D0000}"/>
    <cellStyle name="Normal 13 2 2" xfId="1381" xr:uid="{00000000-0005-0000-0000-0000AC0D0000}"/>
    <cellStyle name="Normal 13 2 2 2" xfId="1382" xr:uid="{00000000-0005-0000-0000-0000AD0D0000}"/>
    <cellStyle name="Normal 13 2 3" xfId="1383" xr:uid="{00000000-0005-0000-0000-0000AE0D0000}"/>
    <cellStyle name="Normal 13 2 4" xfId="7169" xr:uid="{00000000-0005-0000-0000-0000AF0D0000}"/>
    <cellStyle name="Normal 13 2 5" xfId="7170" xr:uid="{00000000-0005-0000-0000-0000B00D0000}"/>
    <cellStyle name="Normal 13 2 6" xfId="7171" xr:uid="{00000000-0005-0000-0000-0000B10D0000}"/>
    <cellStyle name="Normal 13 2 7" xfId="7172" xr:uid="{00000000-0005-0000-0000-0000B20D0000}"/>
    <cellStyle name="Normal 13 2 8" xfId="7173" xr:uid="{00000000-0005-0000-0000-0000B30D0000}"/>
    <cellStyle name="Normal 13 2 9" xfId="7174" xr:uid="{00000000-0005-0000-0000-0000B40D0000}"/>
    <cellStyle name="Normal 13 3" xfId="1384" xr:uid="{00000000-0005-0000-0000-0000B50D0000}"/>
    <cellStyle name="Normal 13 4" xfId="7175" xr:uid="{00000000-0005-0000-0000-0000B60D0000}"/>
    <cellStyle name="Normal 13 5" xfId="7176" xr:uid="{00000000-0005-0000-0000-0000B70D0000}"/>
    <cellStyle name="Normal 13 6" xfId="7177" xr:uid="{00000000-0005-0000-0000-0000B80D0000}"/>
    <cellStyle name="Normal 13 7" xfId="7178" xr:uid="{00000000-0005-0000-0000-0000B90D0000}"/>
    <cellStyle name="Normal 13 8" xfId="7179" xr:uid="{00000000-0005-0000-0000-0000BA0D0000}"/>
    <cellStyle name="Normal 13 9" xfId="7180" xr:uid="{00000000-0005-0000-0000-0000BB0D0000}"/>
    <cellStyle name="Normal 13_Budget incorporated 2011-2012 last101011" xfId="1385" xr:uid="{00000000-0005-0000-0000-0000BC0D0000}"/>
    <cellStyle name="Normal 14" xfId="1386" xr:uid="{00000000-0005-0000-0000-0000BD0D0000}"/>
    <cellStyle name="Normal 14 2" xfId="1387" xr:uid="{00000000-0005-0000-0000-0000BE0D0000}"/>
    <cellStyle name="Normal 14 3" xfId="7181" xr:uid="{00000000-0005-0000-0000-0000BF0D0000}"/>
    <cellStyle name="Normal 14 4" xfId="7182" xr:uid="{00000000-0005-0000-0000-0000C00D0000}"/>
    <cellStyle name="Normal 14 5" xfId="7183" xr:uid="{00000000-0005-0000-0000-0000C10D0000}"/>
    <cellStyle name="Normal 14 6" xfId="7184" xr:uid="{00000000-0005-0000-0000-0000C20D0000}"/>
    <cellStyle name="Normal 14 7" xfId="7185" xr:uid="{00000000-0005-0000-0000-0000C30D0000}"/>
    <cellStyle name="Normal 14 8" xfId="7186" xr:uid="{00000000-0005-0000-0000-0000C40D0000}"/>
    <cellStyle name="Normal 14 9" xfId="7187" xr:uid="{00000000-0005-0000-0000-0000C50D0000}"/>
    <cellStyle name="Normal 15" xfId="1388" xr:uid="{00000000-0005-0000-0000-0000C60D0000}"/>
    <cellStyle name="Normal 15 2" xfId="1389" xr:uid="{00000000-0005-0000-0000-0000C70D0000}"/>
    <cellStyle name="Normal 15 3" xfId="7188" xr:uid="{00000000-0005-0000-0000-0000C80D0000}"/>
    <cellStyle name="Normal 15 4" xfId="7189" xr:uid="{00000000-0005-0000-0000-0000C90D0000}"/>
    <cellStyle name="Normal 15 5" xfId="7190" xr:uid="{00000000-0005-0000-0000-0000CA0D0000}"/>
    <cellStyle name="Normal 15 6" xfId="7191" xr:uid="{00000000-0005-0000-0000-0000CB0D0000}"/>
    <cellStyle name="Normal 15 7" xfId="7192" xr:uid="{00000000-0005-0000-0000-0000CC0D0000}"/>
    <cellStyle name="Normal 15 8" xfId="7193" xr:uid="{00000000-0005-0000-0000-0000CD0D0000}"/>
    <cellStyle name="Normal 15 9" xfId="7194" xr:uid="{00000000-0005-0000-0000-0000CE0D0000}"/>
    <cellStyle name="Normal 16" xfId="1390" xr:uid="{00000000-0005-0000-0000-0000CF0D0000}"/>
    <cellStyle name="Normal 16 10" xfId="7195" xr:uid="{00000000-0005-0000-0000-0000D00D0000}"/>
    <cellStyle name="Normal 16 2" xfId="1391" xr:uid="{00000000-0005-0000-0000-0000D10D0000}"/>
    <cellStyle name="Normal 16 2 2" xfId="1392" xr:uid="{00000000-0005-0000-0000-0000D20D0000}"/>
    <cellStyle name="Normal 16 2 2 2" xfId="1393" xr:uid="{00000000-0005-0000-0000-0000D30D0000}"/>
    <cellStyle name="Normal 16 2 3" xfId="1394" xr:uid="{00000000-0005-0000-0000-0000D40D0000}"/>
    <cellStyle name="Normal 16 2 4" xfId="7196" xr:uid="{00000000-0005-0000-0000-0000D50D0000}"/>
    <cellStyle name="Normal 16 2 5" xfId="7197" xr:uid="{00000000-0005-0000-0000-0000D60D0000}"/>
    <cellStyle name="Normal 16 2 6" xfId="7198" xr:uid="{00000000-0005-0000-0000-0000D70D0000}"/>
    <cellStyle name="Normal 16 2 7" xfId="7199" xr:uid="{00000000-0005-0000-0000-0000D80D0000}"/>
    <cellStyle name="Normal 16 2 8" xfId="7200" xr:uid="{00000000-0005-0000-0000-0000D90D0000}"/>
    <cellStyle name="Normal 16 2 9" xfId="7201" xr:uid="{00000000-0005-0000-0000-0000DA0D0000}"/>
    <cellStyle name="Normal 16 3" xfId="1395" xr:uid="{00000000-0005-0000-0000-0000DB0D0000}"/>
    <cellStyle name="Normal 16 4" xfId="7202" xr:uid="{00000000-0005-0000-0000-0000DC0D0000}"/>
    <cellStyle name="Normal 16 5" xfId="7203" xr:uid="{00000000-0005-0000-0000-0000DD0D0000}"/>
    <cellStyle name="Normal 16 6" xfId="7204" xr:uid="{00000000-0005-0000-0000-0000DE0D0000}"/>
    <cellStyle name="Normal 16 7" xfId="7205" xr:uid="{00000000-0005-0000-0000-0000DF0D0000}"/>
    <cellStyle name="Normal 16 8" xfId="7206" xr:uid="{00000000-0005-0000-0000-0000E00D0000}"/>
    <cellStyle name="Normal 16 9" xfId="7207" xr:uid="{00000000-0005-0000-0000-0000E10D0000}"/>
    <cellStyle name="Normal 16_Budget incorporated 2011-2012 last101011" xfId="1396" xr:uid="{00000000-0005-0000-0000-0000E20D0000}"/>
    <cellStyle name="Normal 17" xfId="1397" xr:uid="{00000000-0005-0000-0000-0000E30D0000}"/>
    <cellStyle name="Normal 17 2" xfId="1398" xr:uid="{00000000-0005-0000-0000-0000E40D0000}"/>
    <cellStyle name="Normal 17 3" xfId="7208" xr:uid="{00000000-0005-0000-0000-0000E50D0000}"/>
    <cellStyle name="Normal 17 4" xfId="7209" xr:uid="{00000000-0005-0000-0000-0000E60D0000}"/>
    <cellStyle name="Normal 17 5" xfId="7210" xr:uid="{00000000-0005-0000-0000-0000E70D0000}"/>
    <cellStyle name="Normal 17 6" xfId="7211" xr:uid="{00000000-0005-0000-0000-0000E80D0000}"/>
    <cellStyle name="Normal 17 7" xfId="7212" xr:uid="{00000000-0005-0000-0000-0000E90D0000}"/>
    <cellStyle name="Normal 17 8" xfId="7213" xr:uid="{00000000-0005-0000-0000-0000EA0D0000}"/>
    <cellStyle name="Normal 17 9" xfId="7214" xr:uid="{00000000-0005-0000-0000-0000EB0D0000}"/>
    <cellStyle name="Normal 18" xfId="1399" xr:uid="{00000000-0005-0000-0000-0000EC0D0000}"/>
    <cellStyle name="Normal 18 10" xfId="7215" xr:uid="{00000000-0005-0000-0000-0000ED0D0000}"/>
    <cellStyle name="Normal 18 2" xfId="1400" xr:uid="{00000000-0005-0000-0000-0000EE0D0000}"/>
    <cellStyle name="Normal 18 2 2" xfId="1401" xr:uid="{00000000-0005-0000-0000-0000EF0D0000}"/>
    <cellStyle name="Normal 18 2 3" xfId="7216" xr:uid="{00000000-0005-0000-0000-0000F00D0000}"/>
    <cellStyle name="Normal 18 2 4" xfId="7217" xr:uid="{00000000-0005-0000-0000-0000F10D0000}"/>
    <cellStyle name="Normal 18 2 5" xfId="7218" xr:uid="{00000000-0005-0000-0000-0000F20D0000}"/>
    <cellStyle name="Normal 18 2 6" xfId="7219" xr:uid="{00000000-0005-0000-0000-0000F30D0000}"/>
    <cellStyle name="Normal 18 2 7" xfId="7220" xr:uid="{00000000-0005-0000-0000-0000F40D0000}"/>
    <cellStyle name="Normal 18 2 8" xfId="7221" xr:uid="{00000000-0005-0000-0000-0000F50D0000}"/>
    <cellStyle name="Normal 18 2 9" xfId="7222" xr:uid="{00000000-0005-0000-0000-0000F60D0000}"/>
    <cellStyle name="Normal 18 3" xfId="1402" xr:uid="{00000000-0005-0000-0000-0000F70D0000}"/>
    <cellStyle name="Normal 18 4" xfId="7223" xr:uid="{00000000-0005-0000-0000-0000F80D0000}"/>
    <cellStyle name="Normal 18 5" xfId="7224" xr:uid="{00000000-0005-0000-0000-0000F90D0000}"/>
    <cellStyle name="Normal 18 6" xfId="7225" xr:uid="{00000000-0005-0000-0000-0000FA0D0000}"/>
    <cellStyle name="Normal 18 7" xfId="7226" xr:uid="{00000000-0005-0000-0000-0000FB0D0000}"/>
    <cellStyle name="Normal 18 8" xfId="7227" xr:uid="{00000000-0005-0000-0000-0000FC0D0000}"/>
    <cellStyle name="Normal 18 9" xfId="7228" xr:uid="{00000000-0005-0000-0000-0000FD0D0000}"/>
    <cellStyle name="Normal 19" xfId="1403" xr:uid="{00000000-0005-0000-0000-0000FE0D0000}"/>
    <cellStyle name="Normal 19 2" xfId="1404" xr:uid="{00000000-0005-0000-0000-0000FF0D0000}"/>
    <cellStyle name="Normal 19 2 2" xfId="1405" xr:uid="{00000000-0005-0000-0000-0000000E0000}"/>
    <cellStyle name="Normal 19 2 3" xfId="1406" xr:uid="{00000000-0005-0000-0000-0000010E0000}"/>
    <cellStyle name="Normal 19 2 4" xfId="1407" xr:uid="{00000000-0005-0000-0000-0000020E0000}"/>
    <cellStyle name="Normal 19 3" xfId="1408" xr:uid="{00000000-0005-0000-0000-0000030E0000}"/>
    <cellStyle name="Normal 19 3 2" xfId="7229" xr:uid="{00000000-0005-0000-0000-0000040E0000}"/>
    <cellStyle name="Normal 19 4" xfId="1409" xr:uid="{00000000-0005-0000-0000-0000050E0000}"/>
    <cellStyle name="Normal 19 4 2" xfId="7230" xr:uid="{00000000-0005-0000-0000-0000060E0000}"/>
    <cellStyle name="Normal 19 5" xfId="1410" xr:uid="{00000000-0005-0000-0000-0000070E0000}"/>
    <cellStyle name="Normal 19 5 2" xfId="7231" xr:uid="{00000000-0005-0000-0000-0000080E0000}"/>
    <cellStyle name="Normal 19 6" xfId="1411" xr:uid="{00000000-0005-0000-0000-0000090E0000}"/>
    <cellStyle name="Normal 19 6 2" xfId="7232" xr:uid="{00000000-0005-0000-0000-00000A0E0000}"/>
    <cellStyle name="Normal 19 7" xfId="1412" xr:uid="{00000000-0005-0000-0000-00000B0E0000}"/>
    <cellStyle name="Normal 19 8" xfId="1413" xr:uid="{00000000-0005-0000-0000-00000C0E0000}"/>
    <cellStyle name="Normal 2" xfId="1414" xr:uid="{00000000-0005-0000-0000-00000D0E0000}"/>
    <cellStyle name="Normal 2 10" xfId="1415" xr:uid="{00000000-0005-0000-0000-00000E0E0000}"/>
    <cellStyle name="Normal 2 10 2" xfId="1416" xr:uid="{00000000-0005-0000-0000-00000F0E0000}"/>
    <cellStyle name="Normal 2 10 2 2" xfId="1417" xr:uid="{00000000-0005-0000-0000-0000100E0000}"/>
    <cellStyle name="Normal 2 10 3" xfId="1418" xr:uid="{00000000-0005-0000-0000-0000110E0000}"/>
    <cellStyle name="Normal 2 10 4" xfId="7233" xr:uid="{00000000-0005-0000-0000-0000120E0000}"/>
    <cellStyle name="Normal 2 10 5" xfId="7234" xr:uid="{00000000-0005-0000-0000-0000130E0000}"/>
    <cellStyle name="Normal 2 10 6" xfId="7235" xr:uid="{00000000-0005-0000-0000-0000140E0000}"/>
    <cellStyle name="Normal 2 10 7" xfId="7236" xr:uid="{00000000-0005-0000-0000-0000150E0000}"/>
    <cellStyle name="Normal 2 10 8" xfId="7237" xr:uid="{00000000-0005-0000-0000-0000160E0000}"/>
    <cellStyle name="Normal 2 10 9" xfId="7238" xr:uid="{00000000-0005-0000-0000-0000170E0000}"/>
    <cellStyle name="Normal 2 11" xfId="1419" xr:uid="{00000000-0005-0000-0000-0000180E0000}"/>
    <cellStyle name="Normal 2 11 2" xfId="1420" xr:uid="{00000000-0005-0000-0000-0000190E0000}"/>
    <cellStyle name="Normal 2 11 3" xfId="1421" xr:uid="{00000000-0005-0000-0000-00001A0E0000}"/>
    <cellStyle name="Normal 2 12" xfId="1422" xr:uid="{00000000-0005-0000-0000-00001B0E0000}"/>
    <cellStyle name="Normal 2 12 2" xfId="1423" xr:uid="{00000000-0005-0000-0000-00001C0E0000}"/>
    <cellStyle name="Normal 2 12 3" xfId="1424" xr:uid="{00000000-0005-0000-0000-00001D0E0000}"/>
    <cellStyle name="Normal 2 12 4" xfId="7239" xr:uid="{00000000-0005-0000-0000-00001E0E0000}"/>
    <cellStyle name="Normal 2 13" xfId="1425" xr:uid="{00000000-0005-0000-0000-00001F0E0000}"/>
    <cellStyle name="Normal 2 13 2" xfId="7240" xr:uid="{00000000-0005-0000-0000-0000200E0000}"/>
    <cellStyle name="Normal 2 14" xfId="1426" xr:uid="{00000000-0005-0000-0000-0000210E0000}"/>
    <cellStyle name="Normal 2 14 2" xfId="7241" xr:uid="{00000000-0005-0000-0000-0000220E0000}"/>
    <cellStyle name="Normal 2 15" xfId="1427" xr:uid="{00000000-0005-0000-0000-0000230E0000}"/>
    <cellStyle name="Normal 2 15 2" xfId="7242" xr:uid="{00000000-0005-0000-0000-0000240E0000}"/>
    <cellStyle name="Normal 2 16" xfId="1428" xr:uid="{00000000-0005-0000-0000-0000250E0000}"/>
    <cellStyle name="Normal 2 16 2" xfId="7243" xr:uid="{00000000-0005-0000-0000-0000260E0000}"/>
    <cellStyle name="Normal 2 17" xfId="1429" xr:uid="{00000000-0005-0000-0000-0000270E0000}"/>
    <cellStyle name="Normal 2 17 2" xfId="7244" xr:uid="{00000000-0005-0000-0000-0000280E0000}"/>
    <cellStyle name="Normal 2 18" xfId="1430" xr:uid="{00000000-0005-0000-0000-0000290E0000}"/>
    <cellStyle name="Normal 2 19" xfId="1431" xr:uid="{00000000-0005-0000-0000-00002A0E0000}"/>
    <cellStyle name="Normal 2 2" xfId="1432" xr:uid="{00000000-0005-0000-0000-00002B0E0000}"/>
    <cellStyle name="Normal 2 2 10" xfId="1433" xr:uid="{00000000-0005-0000-0000-00002C0E0000}"/>
    <cellStyle name="Normal 2 2 11" xfId="1434" xr:uid="{00000000-0005-0000-0000-00002D0E0000}"/>
    <cellStyle name="Normal 2 2 12" xfId="1435" xr:uid="{00000000-0005-0000-0000-00002E0E0000}"/>
    <cellStyle name="Normal 2 2 13" xfId="1436" xr:uid="{00000000-0005-0000-0000-00002F0E0000}"/>
    <cellStyle name="Normal 2 2 14" xfId="1437" xr:uid="{00000000-0005-0000-0000-0000300E0000}"/>
    <cellStyle name="Normal 2 2 15" xfId="1438" xr:uid="{00000000-0005-0000-0000-0000310E0000}"/>
    <cellStyle name="Normal 2 2 16" xfId="1439" xr:uid="{00000000-0005-0000-0000-0000320E0000}"/>
    <cellStyle name="Normal 2 2 17" xfId="1440" xr:uid="{00000000-0005-0000-0000-0000330E0000}"/>
    <cellStyle name="Normal 2 2 18" xfId="1441" xr:uid="{00000000-0005-0000-0000-0000340E0000}"/>
    <cellStyle name="Normal 2 2 19" xfId="1442" xr:uid="{00000000-0005-0000-0000-0000350E0000}"/>
    <cellStyle name="Normal 2 2 2" xfId="1443" xr:uid="{00000000-0005-0000-0000-0000360E0000}"/>
    <cellStyle name="Normal 2 2 2 10" xfId="7245" xr:uid="{00000000-0005-0000-0000-0000370E0000}"/>
    <cellStyle name="Normal 2 2 2 11" xfId="7246" xr:uid="{00000000-0005-0000-0000-0000380E0000}"/>
    <cellStyle name="Normal 2 2 2 12" xfId="7247" xr:uid="{00000000-0005-0000-0000-0000390E0000}"/>
    <cellStyle name="Normal 2 2 2 13" xfId="7248" xr:uid="{00000000-0005-0000-0000-00003A0E0000}"/>
    <cellStyle name="Normal 2 2 2 14" xfId="7249" xr:uid="{00000000-0005-0000-0000-00003B0E0000}"/>
    <cellStyle name="Normal 2 2 2 15" xfId="7250" xr:uid="{00000000-0005-0000-0000-00003C0E0000}"/>
    <cellStyle name="Normal 2 2 2 16" xfId="7251" xr:uid="{00000000-0005-0000-0000-00003D0E0000}"/>
    <cellStyle name="Normal 2 2 2 17" xfId="7252" xr:uid="{00000000-0005-0000-0000-00003E0E0000}"/>
    <cellStyle name="Normal 2 2 2 18" xfId="7253" xr:uid="{00000000-0005-0000-0000-00003F0E0000}"/>
    <cellStyle name="Normal 2 2 2 19" xfId="7254" xr:uid="{00000000-0005-0000-0000-0000400E0000}"/>
    <cellStyle name="Normal 2 2 2 2" xfId="1444" xr:uid="{00000000-0005-0000-0000-0000410E0000}"/>
    <cellStyle name="Normal 2 2 2 2 2" xfId="1445" xr:uid="{00000000-0005-0000-0000-0000420E0000}"/>
    <cellStyle name="Normal 2 2 2 2 2 2" xfId="1446" xr:uid="{00000000-0005-0000-0000-0000430E0000}"/>
    <cellStyle name="Normal 2 2 2 2 3" xfId="7255" xr:uid="{00000000-0005-0000-0000-0000440E0000}"/>
    <cellStyle name="Normal 2 2 2 20" xfId="7256" xr:uid="{00000000-0005-0000-0000-0000450E0000}"/>
    <cellStyle name="Normal 2 2 2 21" xfId="7257" xr:uid="{00000000-0005-0000-0000-0000460E0000}"/>
    <cellStyle name="Normal 2 2 2 22" xfId="7258" xr:uid="{00000000-0005-0000-0000-0000470E0000}"/>
    <cellStyle name="Normal 2 2 2 23" xfId="7259" xr:uid="{00000000-0005-0000-0000-0000480E0000}"/>
    <cellStyle name="Normal 2 2 2 24" xfId="7260" xr:uid="{00000000-0005-0000-0000-0000490E0000}"/>
    <cellStyle name="Normal 2 2 2 25" xfId="7261" xr:uid="{00000000-0005-0000-0000-00004A0E0000}"/>
    <cellStyle name="Normal 2 2 2 3" xfId="1447" xr:uid="{00000000-0005-0000-0000-00004B0E0000}"/>
    <cellStyle name="Normal 2 2 2 3 10" xfId="7262" xr:uid="{00000000-0005-0000-0000-00004C0E0000}"/>
    <cellStyle name="Normal 2 2 2 3 2" xfId="1448" xr:uid="{00000000-0005-0000-0000-00004D0E0000}"/>
    <cellStyle name="Normal 2 2 2 3 3" xfId="7263" xr:uid="{00000000-0005-0000-0000-00004E0E0000}"/>
    <cellStyle name="Normal 2 2 2 3 4" xfId="7264" xr:uid="{00000000-0005-0000-0000-00004F0E0000}"/>
    <cellStyle name="Normal 2 2 2 3 5" xfId="7265" xr:uid="{00000000-0005-0000-0000-0000500E0000}"/>
    <cellStyle name="Normal 2 2 2 3 6" xfId="7266" xr:uid="{00000000-0005-0000-0000-0000510E0000}"/>
    <cellStyle name="Normal 2 2 2 3 7" xfId="7267" xr:uid="{00000000-0005-0000-0000-0000520E0000}"/>
    <cellStyle name="Normal 2 2 2 3 8" xfId="7268" xr:uid="{00000000-0005-0000-0000-0000530E0000}"/>
    <cellStyle name="Normal 2 2 2 3 9" xfId="7269" xr:uid="{00000000-0005-0000-0000-0000540E0000}"/>
    <cellStyle name="Normal 2 2 2 4" xfId="1449" xr:uid="{00000000-0005-0000-0000-0000550E0000}"/>
    <cellStyle name="Normal 2 2 2 4 2" xfId="1450" xr:uid="{00000000-0005-0000-0000-0000560E0000}"/>
    <cellStyle name="Normal 2 2 2 5" xfId="1451" xr:uid="{00000000-0005-0000-0000-0000570E0000}"/>
    <cellStyle name="Normal 2 2 2 5 2" xfId="7270" xr:uid="{00000000-0005-0000-0000-0000580E0000}"/>
    <cellStyle name="Normal 2 2 2 6" xfId="1452" xr:uid="{00000000-0005-0000-0000-0000590E0000}"/>
    <cellStyle name="Normal 2 2 2 6 2" xfId="7271" xr:uid="{00000000-0005-0000-0000-00005A0E0000}"/>
    <cellStyle name="Normal 2 2 2 7" xfId="1453" xr:uid="{00000000-0005-0000-0000-00005B0E0000}"/>
    <cellStyle name="Normal 2 2 2 7 2" xfId="7272" xr:uid="{00000000-0005-0000-0000-00005C0E0000}"/>
    <cellStyle name="Normal 2 2 2 8" xfId="7273" xr:uid="{00000000-0005-0000-0000-00005D0E0000}"/>
    <cellStyle name="Normal 2 2 2 9" xfId="7274" xr:uid="{00000000-0005-0000-0000-00005E0E0000}"/>
    <cellStyle name="Normal 2 2 3" xfId="1454" xr:uid="{00000000-0005-0000-0000-00005F0E0000}"/>
    <cellStyle name="Normal 2 2 4" xfId="1455" xr:uid="{00000000-0005-0000-0000-0000600E0000}"/>
    <cellStyle name="Normal 2 2 4 2" xfId="1456" xr:uid="{00000000-0005-0000-0000-0000610E0000}"/>
    <cellStyle name="Normal 2 2 4 3" xfId="7275" xr:uid="{00000000-0005-0000-0000-0000620E0000}"/>
    <cellStyle name="Normal 2 2 4 4" xfId="7276" xr:uid="{00000000-0005-0000-0000-0000630E0000}"/>
    <cellStyle name="Normal 2 2 4 5" xfId="7277" xr:uid="{00000000-0005-0000-0000-0000640E0000}"/>
    <cellStyle name="Normal 2 2 4 6" xfId="7278" xr:uid="{00000000-0005-0000-0000-0000650E0000}"/>
    <cellStyle name="Normal 2 2 4 7" xfId="7279" xr:uid="{00000000-0005-0000-0000-0000660E0000}"/>
    <cellStyle name="Normal 2 2 4 8" xfId="7280" xr:uid="{00000000-0005-0000-0000-0000670E0000}"/>
    <cellStyle name="Normal 2 2 4 9" xfId="7281" xr:uid="{00000000-0005-0000-0000-0000680E0000}"/>
    <cellStyle name="Normal 2 2 5" xfId="1457" xr:uid="{00000000-0005-0000-0000-0000690E0000}"/>
    <cellStyle name="Normal 2 2 5 10" xfId="7282" xr:uid="{00000000-0005-0000-0000-00006A0E0000}"/>
    <cellStyle name="Normal 2 2 5 2" xfId="1458" xr:uid="{00000000-0005-0000-0000-00006B0E0000}"/>
    <cellStyle name="Normal 2 2 5 2 2" xfId="1459" xr:uid="{00000000-0005-0000-0000-00006C0E0000}"/>
    <cellStyle name="Normal 2 2 5 2 3" xfId="7283" xr:uid="{00000000-0005-0000-0000-00006D0E0000}"/>
    <cellStyle name="Normal 2 2 5 2 4" xfId="7284" xr:uid="{00000000-0005-0000-0000-00006E0E0000}"/>
    <cellStyle name="Normal 2 2 5 2 5" xfId="7285" xr:uid="{00000000-0005-0000-0000-00006F0E0000}"/>
    <cellStyle name="Normal 2 2 5 2 6" xfId="7286" xr:uid="{00000000-0005-0000-0000-0000700E0000}"/>
    <cellStyle name="Normal 2 2 5 2 7" xfId="7287" xr:uid="{00000000-0005-0000-0000-0000710E0000}"/>
    <cellStyle name="Normal 2 2 5 2 8" xfId="7288" xr:uid="{00000000-0005-0000-0000-0000720E0000}"/>
    <cellStyle name="Normal 2 2 5 2 9" xfId="7289" xr:uid="{00000000-0005-0000-0000-0000730E0000}"/>
    <cellStyle name="Normal 2 2 5 3" xfId="1460" xr:uid="{00000000-0005-0000-0000-0000740E0000}"/>
    <cellStyle name="Normal 2 2 5 4" xfId="7290" xr:uid="{00000000-0005-0000-0000-0000750E0000}"/>
    <cellStyle name="Normal 2 2 5 5" xfId="7291" xr:uid="{00000000-0005-0000-0000-0000760E0000}"/>
    <cellStyle name="Normal 2 2 5 6" xfId="7292" xr:uid="{00000000-0005-0000-0000-0000770E0000}"/>
    <cellStyle name="Normal 2 2 5 7" xfId="7293" xr:uid="{00000000-0005-0000-0000-0000780E0000}"/>
    <cellStyle name="Normal 2 2 5 8" xfId="7294" xr:uid="{00000000-0005-0000-0000-0000790E0000}"/>
    <cellStyle name="Normal 2 2 5 9" xfId="7295" xr:uid="{00000000-0005-0000-0000-00007A0E0000}"/>
    <cellStyle name="Normal 2 2 5_Budget incorporated 2011-2012 last101011" xfId="1461" xr:uid="{00000000-0005-0000-0000-00007B0E0000}"/>
    <cellStyle name="Normal 2 2 6" xfId="1462" xr:uid="{00000000-0005-0000-0000-00007C0E0000}"/>
    <cellStyle name="Normal 2 2 6 2" xfId="7296" xr:uid="{00000000-0005-0000-0000-00007D0E0000}"/>
    <cellStyle name="Normal 2 2 6 3" xfId="7297" xr:uid="{00000000-0005-0000-0000-00007E0E0000}"/>
    <cellStyle name="Normal 2 2 7" xfId="1463" xr:uid="{00000000-0005-0000-0000-00007F0E0000}"/>
    <cellStyle name="Normal 2 2 7 2" xfId="1464" xr:uid="{00000000-0005-0000-0000-0000800E0000}"/>
    <cellStyle name="Normal 2 2 7 2 2" xfId="1465" xr:uid="{00000000-0005-0000-0000-0000810E0000}"/>
    <cellStyle name="Normal 2 2 8" xfId="1466" xr:uid="{00000000-0005-0000-0000-0000820E0000}"/>
    <cellStyle name="Normal 2 2 8 2" xfId="1467" xr:uid="{00000000-0005-0000-0000-0000830E0000}"/>
    <cellStyle name="Normal 2 2 9" xfId="1468" xr:uid="{00000000-0005-0000-0000-0000840E0000}"/>
    <cellStyle name="Normal 2 2_Abkh" xfId="1469" xr:uid="{00000000-0005-0000-0000-0000850E0000}"/>
    <cellStyle name="Normal 2 20" xfId="1470" xr:uid="{00000000-0005-0000-0000-0000860E0000}"/>
    <cellStyle name="Normal 2 21" xfId="7298" xr:uid="{00000000-0005-0000-0000-0000870E0000}"/>
    <cellStyle name="Normal 2 22" xfId="7299" xr:uid="{00000000-0005-0000-0000-0000880E0000}"/>
    <cellStyle name="Normal 2 23" xfId="7300" xr:uid="{00000000-0005-0000-0000-0000890E0000}"/>
    <cellStyle name="Normal 2 24" xfId="7301" xr:uid="{00000000-0005-0000-0000-00008A0E0000}"/>
    <cellStyle name="Normal 2 25" xfId="7302" xr:uid="{00000000-0005-0000-0000-00008B0E0000}"/>
    <cellStyle name="Normal 2 26" xfId="7303" xr:uid="{00000000-0005-0000-0000-00008C0E0000}"/>
    <cellStyle name="Normal 2 27" xfId="7304" xr:uid="{00000000-0005-0000-0000-00008D0E0000}"/>
    <cellStyle name="Normal 2 28" xfId="7305" xr:uid="{00000000-0005-0000-0000-00008E0E0000}"/>
    <cellStyle name="Normal 2 29" xfId="7306" xr:uid="{00000000-0005-0000-0000-00008F0E0000}"/>
    <cellStyle name="Normal 2 3" xfId="1471" xr:uid="{00000000-0005-0000-0000-0000900E0000}"/>
    <cellStyle name="Normal 2 3 10" xfId="7307" xr:uid="{00000000-0005-0000-0000-0000910E0000}"/>
    <cellStyle name="Normal 2 3 2" xfId="1472" xr:uid="{00000000-0005-0000-0000-0000920E0000}"/>
    <cellStyle name="Normal 2 3 2 2" xfId="1473" xr:uid="{00000000-0005-0000-0000-0000930E0000}"/>
    <cellStyle name="Normal 2 3 3" xfId="1474" xr:uid="{00000000-0005-0000-0000-0000940E0000}"/>
    <cellStyle name="Normal 2 3 3 2" xfId="1475" xr:uid="{00000000-0005-0000-0000-0000950E0000}"/>
    <cellStyle name="Normal 2 3 3 3" xfId="7308" xr:uid="{00000000-0005-0000-0000-0000960E0000}"/>
    <cellStyle name="Normal 2 3 4" xfId="1476" xr:uid="{00000000-0005-0000-0000-0000970E0000}"/>
    <cellStyle name="Normal 2 3 5" xfId="1477" xr:uid="{00000000-0005-0000-0000-0000980E0000}"/>
    <cellStyle name="Normal 2 3 6" xfId="1478" xr:uid="{00000000-0005-0000-0000-0000990E0000}"/>
    <cellStyle name="Normal 2 3 7" xfId="7309" xr:uid="{00000000-0005-0000-0000-00009A0E0000}"/>
    <cellStyle name="Normal 2 3 8" xfId="7310" xr:uid="{00000000-0005-0000-0000-00009B0E0000}"/>
    <cellStyle name="Normal 2 3 9" xfId="7311" xr:uid="{00000000-0005-0000-0000-00009C0E0000}"/>
    <cellStyle name="Normal 2 3_new budget_25.05.11" xfId="1479" xr:uid="{00000000-0005-0000-0000-00009D0E0000}"/>
    <cellStyle name="Normal 2 30" xfId="7312" xr:uid="{00000000-0005-0000-0000-00009E0E0000}"/>
    <cellStyle name="Normal 2 31" xfId="7313" xr:uid="{00000000-0005-0000-0000-00009F0E0000}"/>
    <cellStyle name="Normal 2 32" xfId="7314" xr:uid="{00000000-0005-0000-0000-0000A00E0000}"/>
    <cellStyle name="Normal 2 33" xfId="7315" xr:uid="{00000000-0005-0000-0000-0000A10E0000}"/>
    <cellStyle name="Normal 2 34" xfId="7316" xr:uid="{00000000-0005-0000-0000-0000A20E0000}"/>
    <cellStyle name="Normal 2 4" xfId="1480" xr:uid="{00000000-0005-0000-0000-0000A30E0000}"/>
    <cellStyle name="Normal 2 4 2" xfId="1481" xr:uid="{00000000-0005-0000-0000-0000A40E0000}"/>
    <cellStyle name="Normal 2 4 2 10" xfId="7317" xr:uid="{00000000-0005-0000-0000-0000A50E0000}"/>
    <cellStyle name="Normal 2 4 2 11" xfId="7318" xr:uid="{00000000-0005-0000-0000-0000A60E0000}"/>
    <cellStyle name="Normal 2 4 2 12" xfId="7319" xr:uid="{00000000-0005-0000-0000-0000A70E0000}"/>
    <cellStyle name="Normal 2 4 2 13" xfId="7320" xr:uid="{00000000-0005-0000-0000-0000A80E0000}"/>
    <cellStyle name="Normal 2 4 2 14" xfId="7321" xr:uid="{00000000-0005-0000-0000-0000A90E0000}"/>
    <cellStyle name="Normal 2 4 2 15" xfId="7322" xr:uid="{00000000-0005-0000-0000-0000AA0E0000}"/>
    <cellStyle name="Normal 2 4 2 16" xfId="7323" xr:uid="{00000000-0005-0000-0000-0000AB0E0000}"/>
    <cellStyle name="Normal 2 4 2 17" xfId="7324" xr:uid="{00000000-0005-0000-0000-0000AC0E0000}"/>
    <cellStyle name="Normal 2 4 2 18" xfId="7325" xr:uid="{00000000-0005-0000-0000-0000AD0E0000}"/>
    <cellStyle name="Normal 2 4 2 2" xfId="1482" xr:uid="{00000000-0005-0000-0000-0000AE0E0000}"/>
    <cellStyle name="Normal 2 4 2 3" xfId="1483" xr:uid="{00000000-0005-0000-0000-0000AF0E0000}"/>
    <cellStyle name="Normal 2 4 2 3 2" xfId="1484" xr:uid="{00000000-0005-0000-0000-0000B00E0000}"/>
    <cellStyle name="Normal 2 4 2 4" xfId="1485" xr:uid="{00000000-0005-0000-0000-0000B10E0000}"/>
    <cellStyle name="Normal 2 4 2 4 2" xfId="1486" xr:uid="{00000000-0005-0000-0000-0000B20E0000}"/>
    <cellStyle name="Normal 2 4 2 5" xfId="1487" xr:uid="{00000000-0005-0000-0000-0000B30E0000}"/>
    <cellStyle name="Normal 2 4 2 5 2" xfId="7326" xr:uid="{00000000-0005-0000-0000-0000B40E0000}"/>
    <cellStyle name="Normal 2 4 2 6" xfId="1488" xr:uid="{00000000-0005-0000-0000-0000B50E0000}"/>
    <cellStyle name="Normal 2 4 2 6 2" xfId="7327" xr:uid="{00000000-0005-0000-0000-0000B60E0000}"/>
    <cellStyle name="Normal 2 4 2 7" xfId="1489" xr:uid="{00000000-0005-0000-0000-0000B70E0000}"/>
    <cellStyle name="Normal 2 4 2 7 2" xfId="7328" xr:uid="{00000000-0005-0000-0000-0000B80E0000}"/>
    <cellStyle name="Normal 2 4 2 8" xfId="7329" xr:uid="{00000000-0005-0000-0000-0000B90E0000}"/>
    <cellStyle name="Normal 2 4 2 9" xfId="7330" xr:uid="{00000000-0005-0000-0000-0000BA0E0000}"/>
    <cellStyle name="Normal 2 4 3" xfId="1490" xr:uid="{00000000-0005-0000-0000-0000BB0E0000}"/>
    <cellStyle name="Normal 2 4 3 2" xfId="1491" xr:uid="{00000000-0005-0000-0000-0000BC0E0000}"/>
    <cellStyle name="Normal 2 4 4" xfId="1492" xr:uid="{00000000-0005-0000-0000-0000BD0E0000}"/>
    <cellStyle name="Normal 2 4 4 2" xfId="1493" xr:uid="{00000000-0005-0000-0000-0000BE0E0000}"/>
    <cellStyle name="Normal 2 4 5" xfId="1494" xr:uid="{00000000-0005-0000-0000-0000BF0E0000}"/>
    <cellStyle name="Normal 2 4 6" xfId="1495" xr:uid="{00000000-0005-0000-0000-0000C00E0000}"/>
    <cellStyle name="Normal 2 4 7" xfId="1496" xr:uid="{00000000-0005-0000-0000-0000C10E0000}"/>
    <cellStyle name="Normal 2 4_Narc_ HIVDR_OI_21 Months_KLN" xfId="1497" xr:uid="{00000000-0005-0000-0000-0000C20E0000}"/>
    <cellStyle name="Normal 2 5" xfId="1498" xr:uid="{00000000-0005-0000-0000-0000C30E0000}"/>
    <cellStyle name="Normal 2 5 2" xfId="1499" xr:uid="{00000000-0005-0000-0000-0000C40E0000}"/>
    <cellStyle name="Normal 2 5 3" xfId="1500" xr:uid="{00000000-0005-0000-0000-0000C50E0000}"/>
    <cellStyle name="Normal 2 5 4" xfId="1501" xr:uid="{00000000-0005-0000-0000-0000C60E0000}"/>
    <cellStyle name="Normal 2 5 5" xfId="1502" xr:uid="{00000000-0005-0000-0000-0000C70E0000}"/>
    <cellStyle name="Normal 2 5 6" xfId="1503" xr:uid="{00000000-0005-0000-0000-0000C80E0000}"/>
    <cellStyle name="Normal 2 6" xfId="1504" xr:uid="{00000000-0005-0000-0000-0000C90E0000}"/>
    <cellStyle name="Normal 2 6 10" xfId="7331" xr:uid="{00000000-0005-0000-0000-0000CA0E0000}"/>
    <cellStyle name="Normal 2 6 11" xfId="7332" xr:uid="{00000000-0005-0000-0000-0000CB0E0000}"/>
    <cellStyle name="Normal 2 6 12" xfId="7333" xr:uid="{00000000-0005-0000-0000-0000CC0E0000}"/>
    <cellStyle name="Normal 2 6 13" xfId="7334" xr:uid="{00000000-0005-0000-0000-0000CD0E0000}"/>
    <cellStyle name="Normal 2 6 14" xfId="7335" xr:uid="{00000000-0005-0000-0000-0000CE0E0000}"/>
    <cellStyle name="Normal 2 6 15" xfId="7336" xr:uid="{00000000-0005-0000-0000-0000CF0E0000}"/>
    <cellStyle name="Normal 2 6 16" xfId="7337" xr:uid="{00000000-0005-0000-0000-0000D00E0000}"/>
    <cellStyle name="Normal 2 6 17" xfId="7338" xr:uid="{00000000-0005-0000-0000-0000D10E0000}"/>
    <cellStyle name="Normal 2 6 18" xfId="7339" xr:uid="{00000000-0005-0000-0000-0000D20E0000}"/>
    <cellStyle name="Normal 2 6 19" xfId="7340" xr:uid="{00000000-0005-0000-0000-0000D30E0000}"/>
    <cellStyle name="Normal 2 6 2" xfId="1505" xr:uid="{00000000-0005-0000-0000-0000D40E0000}"/>
    <cellStyle name="Normal 2 6 2 10" xfId="7341" xr:uid="{00000000-0005-0000-0000-0000D50E0000}"/>
    <cellStyle name="Normal 2 6 2 11" xfId="7342" xr:uid="{00000000-0005-0000-0000-0000D60E0000}"/>
    <cellStyle name="Normal 2 6 2 2" xfId="1506" xr:uid="{00000000-0005-0000-0000-0000D70E0000}"/>
    <cellStyle name="Normal 2 6 2 2 10" xfId="7343" xr:uid="{00000000-0005-0000-0000-0000D80E0000}"/>
    <cellStyle name="Normal 2 6 2 2 2" xfId="1507" xr:uid="{00000000-0005-0000-0000-0000D90E0000}"/>
    <cellStyle name="Normal 2 6 2 2 2 2" xfId="1508" xr:uid="{00000000-0005-0000-0000-0000DA0E0000}"/>
    <cellStyle name="Normal 2 6 2 2 2 3" xfId="7344" xr:uid="{00000000-0005-0000-0000-0000DB0E0000}"/>
    <cellStyle name="Normal 2 6 2 2 2 4" xfId="7345" xr:uid="{00000000-0005-0000-0000-0000DC0E0000}"/>
    <cellStyle name="Normal 2 6 2 2 2 5" xfId="7346" xr:uid="{00000000-0005-0000-0000-0000DD0E0000}"/>
    <cellStyle name="Normal 2 6 2 2 2 6" xfId="7347" xr:uid="{00000000-0005-0000-0000-0000DE0E0000}"/>
    <cellStyle name="Normal 2 6 2 2 2 7" xfId="7348" xr:uid="{00000000-0005-0000-0000-0000DF0E0000}"/>
    <cellStyle name="Normal 2 6 2 2 2 8" xfId="7349" xr:uid="{00000000-0005-0000-0000-0000E00E0000}"/>
    <cellStyle name="Normal 2 6 2 2 2 9" xfId="7350" xr:uid="{00000000-0005-0000-0000-0000E10E0000}"/>
    <cellStyle name="Normal 2 6 2 2 3" xfId="1509" xr:uid="{00000000-0005-0000-0000-0000E20E0000}"/>
    <cellStyle name="Normal 2 6 2 2 4" xfId="7351" xr:uid="{00000000-0005-0000-0000-0000E30E0000}"/>
    <cellStyle name="Normal 2 6 2 2 5" xfId="7352" xr:uid="{00000000-0005-0000-0000-0000E40E0000}"/>
    <cellStyle name="Normal 2 6 2 2 6" xfId="7353" xr:uid="{00000000-0005-0000-0000-0000E50E0000}"/>
    <cellStyle name="Normal 2 6 2 2 7" xfId="7354" xr:uid="{00000000-0005-0000-0000-0000E60E0000}"/>
    <cellStyle name="Normal 2 6 2 2 8" xfId="7355" xr:uid="{00000000-0005-0000-0000-0000E70E0000}"/>
    <cellStyle name="Normal 2 6 2 2 9" xfId="7356" xr:uid="{00000000-0005-0000-0000-0000E80E0000}"/>
    <cellStyle name="Normal 2 6 2 2_Budget incorporated 2011-2012 last101011" xfId="1510" xr:uid="{00000000-0005-0000-0000-0000E90E0000}"/>
    <cellStyle name="Normal 2 6 2 3" xfId="1511" xr:uid="{00000000-0005-0000-0000-0000EA0E0000}"/>
    <cellStyle name="Normal 2 6 2 3 10" xfId="7357" xr:uid="{00000000-0005-0000-0000-0000EB0E0000}"/>
    <cellStyle name="Normal 2 6 2 3 2" xfId="1512" xr:uid="{00000000-0005-0000-0000-0000EC0E0000}"/>
    <cellStyle name="Normal 2 6 2 3 2 2" xfId="1513" xr:uid="{00000000-0005-0000-0000-0000ED0E0000}"/>
    <cellStyle name="Normal 2 6 2 3 2 2 2" xfId="1514" xr:uid="{00000000-0005-0000-0000-0000EE0E0000}"/>
    <cellStyle name="Normal 2 6 2 3 2 3" xfId="1515" xr:uid="{00000000-0005-0000-0000-0000EF0E0000}"/>
    <cellStyle name="Normal 2 6 2 3 2 4" xfId="7358" xr:uid="{00000000-0005-0000-0000-0000F00E0000}"/>
    <cellStyle name="Normal 2 6 2 3 2 5" xfId="7359" xr:uid="{00000000-0005-0000-0000-0000F10E0000}"/>
    <cellStyle name="Normal 2 6 2 3 2 6" xfId="7360" xr:uid="{00000000-0005-0000-0000-0000F20E0000}"/>
    <cellStyle name="Normal 2 6 2 3 2 7" xfId="7361" xr:uid="{00000000-0005-0000-0000-0000F30E0000}"/>
    <cellStyle name="Normal 2 6 2 3 2 8" xfId="7362" xr:uid="{00000000-0005-0000-0000-0000F40E0000}"/>
    <cellStyle name="Normal 2 6 2 3 2 9" xfId="7363" xr:uid="{00000000-0005-0000-0000-0000F50E0000}"/>
    <cellStyle name="Normal 2 6 2 3 3" xfId="1516" xr:uid="{00000000-0005-0000-0000-0000F60E0000}"/>
    <cellStyle name="Normal 2 6 2 3 4" xfId="7364" xr:uid="{00000000-0005-0000-0000-0000F70E0000}"/>
    <cellStyle name="Normal 2 6 2 3 5" xfId="7365" xr:uid="{00000000-0005-0000-0000-0000F80E0000}"/>
    <cellStyle name="Normal 2 6 2 3 6" xfId="7366" xr:uid="{00000000-0005-0000-0000-0000F90E0000}"/>
    <cellStyle name="Normal 2 6 2 3 7" xfId="7367" xr:uid="{00000000-0005-0000-0000-0000FA0E0000}"/>
    <cellStyle name="Normal 2 6 2 3 8" xfId="7368" xr:uid="{00000000-0005-0000-0000-0000FB0E0000}"/>
    <cellStyle name="Normal 2 6 2 3 9" xfId="7369" xr:uid="{00000000-0005-0000-0000-0000FC0E0000}"/>
    <cellStyle name="Normal 2 6 2 3_Budget incorporated 2011-2012 last101011" xfId="1517" xr:uid="{00000000-0005-0000-0000-0000FD0E0000}"/>
    <cellStyle name="Normal 2 6 2 4" xfId="1518" xr:uid="{00000000-0005-0000-0000-0000FE0E0000}"/>
    <cellStyle name="Normal 2 6 2 5" xfId="1519" xr:uid="{00000000-0005-0000-0000-0000FF0E0000}"/>
    <cellStyle name="Normal 2 6 2 6" xfId="1520" xr:uid="{00000000-0005-0000-0000-0000000F0000}"/>
    <cellStyle name="Normal 2 6 2 7" xfId="1521" xr:uid="{00000000-0005-0000-0000-0000010F0000}"/>
    <cellStyle name="Normal 2 6 2 8" xfId="1522" xr:uid="{00000000-0005-0000-0000-0000020F0000}"/>
    <cellStyle name="Normal 2 6 2 9" xfId="1523" xr:uid="{00000000-0005-0000-0000-0000030F0000}"/>
    <cellStyle name="Normal 2 6 2_Budget incorporated 2011-2012 last101011" xfId="1524" xr:uid="{00000000-0005-0000-0000-0000040F0000}"/>
    <cellStyle name="Normal 2 6 20" xfId="7370" xr:uid="{00000000-0005-0000-0000-0000050F0000}"/>
    <cellStyle name="Normal 2 6 21" xfId="7371" xr:uid="{00000000-0005-0000-0000-0000060F0000}"/>
    <cellStyle name="Normal 2 6 3" xfId="1525" xr:uid="{00000000-0005-0000-0000-0000070F0000}"/>
    <cellStyle name="Normal 2 6 3 2" xfId="1526" xr:uid="{00000000-0005-0000-0000-0000080F0000}"/>
    <cellStyle name="Normal 2 6 4" xfId="1527" xr:uid="{00000000-0005-0000-0000-0000090F0000}"/>
    <cellStyle name="Normal 2 6 4 2" xfId="1528" xr:uid="{00000000-0005-0000-0000-00000A0F0000}"/>
    <cellStyle name="Normal 2 6 5" xfId="1529" xr:uid="{00000000-0005-0000-0000-00000B0F0000}"/>
    <cellStyle name="Normal 2 6 6" xfId="7372" xr:uid="{00000000-0005-0000-0000-00000C0F0000}"/>
    <cellStyle name="Normal 2 6 7" xfId="7373" xr:uid="{00000000-0005-0000-0000-00000D0F0000}"/>
    <cellStyle name="Normal 2 6 8" xfId="7374" xr:uid="{00000000-0005-0000-0000-00000E0F0000}"/>
    <cellStyle name="Normal 2 6 9" xfId="7375" xr:uid="{00000000-0005-0000-0000-00000F0F0000}"/>
    <cellStyle name="Normal 2 6_new budget_25.05.11" xfId="1530" xr:uid="{00000000-0005-0000-0000-0000100F0000}"/>
    <cellStyle name="Normal 2 7" xfId="1531" xr:uid="{00000000-0005-0000-0000-0000110F0000}"/>
    <cellStyle name="Normal 2 7 2" xfId="1532" xr:uid="{00000000-0005-0000-0000-0000120F0000}"/>
    <cellStyle name="Normal 2 7 3" xfId="1533" xr:uid="{00000000-0005-0000-0000-0000130F0000}"/>
    <cellStyle name="Normal 2 8" xfId="1534" xr:uid="{00000000-0005-0000-0000-0000140F0000}"/>
    <cellStyle name="Normal 2 8 2" xfId="1535" xr:uid="{00000000-0005-0000-0000-0000150F0000}"/>
    <cellStyle name="Normal 2 8 3" xfId="1536" xr:uid="{00000000-0005-0000-0000-0000160F0000}"/>
    <cellStyle name="Normal 2 9" xfId="1537" xr:uid="{00000000-0005-0000-0000-0000170F0000}"/>
    <cellStyle name="Normal 2 9 2" xfId="1538" xr:uid="{00000000-0005-0000-0000-0000180F0000}"/>
    <cellStyle name="Normal 2 9 3" xfId="7376" xr:uid="{00000000-0005-0000-0000-0000190F0000}"/>
    <cellStyle name="Normal 2 9 4" xfId="7377" xr:uid="{00000000-0005-0000-0000-00001A0F0000}"/>
    <cellStyle name="Normal 2 9 5" xfId="7378" xr:uid="{00000000-0005-0000-0000-00001B0F0000}"/>
    <cellStyle name="Normal 2 9 6" xfId="7379" xr:uid="{00000000-0005-0000-0000-00001C0F0000}"/>
    <cellStyle name="Normal 2 9 7" xfId="7380" xr:uid="{00000000-0005-0000-0000-00001D0F0000}"/>
    <cellStyle name="Normal 2 9 8" xfId="7381" xr:uid="{00000000-0005-0000-0000-00001E0F0000}"/>
    <cellStyle name="Normal 2 9 9" xfId="7382" xr:uid="{00000000-0005-0000-0000-00001F0F0000}"/>
    <cellStyle name="Normal 2_2თვე გლობალი.08" xfId="1539" xr:uid="{00000000-0005-0000-0000-0000200F0000}"/>
    <cellStyle name="Normal 20" xfId="1540" xr:uid="{00000000-0005-0000-0000-0000210F0000}"/>
    <cellStyle name="Normal 20 10" xfId="7383" xr:uid="{00000000-0005-0000-0000-0000220F0000}"/>
    <cellStyle name="Normal 20 11" xfId="7384" xr:uid="{00000000-0005-0000-0000-0000230F0000}"/>
    <cellStyle name="Normal 20 2" xfId="1541" xr:uid="{00000000-0005-0000-0000-0000240F0000}"/>
    <cellStyle name="Normal 20 2 2" xfId="7385" xr:uid="{00000000-0005-0000-0000-0000250F0000}"/>
    <cellStyle name="Normal 20 3" xfId="1542" xr:uid="{00000000-0005-0000-0000-0000260F0000}"/>
    <cellStyle name="Normal 20 3 2" xfId="7386" xr:uid="{00000000-0005-0000-0000-0000270F0000}"/>
    <cellStyle name="Normal 20 4" xfId="1543" xr:uid="{00000000-0005-0000-0000-0000280F0000}"/>
    <cellStyle name="Normal 20 4 2" xfId="7387" xr:uid="{00000000-0005-0000-0000-0000290F0000}"/>
    <cellStyle name="Normal 20 5" xfId="1544" xr:uid="{00000000-0005-0000-0000-00002A0F0000}"/>
    <cellStyle name="Normal 20 5 2" xfId="7388" xr:uid="{00000000-0005-0000-0000-00002B0F0000}"/>
    <cellStyle name="Normal 20 6" xfId="1545" xr:uid="{00000000-0005-0000-0000-00002C0F0000}"/>
    <cellStyle name="Normal 20 7" xfId="1546" xr:uid="{00000000-0005-0000-0000-00002D0F0000}"/>
    <cellStyle name="Normal 20 8" xfId="1547" xr:uid="{00000000-0005-0000-0000-00002E0F0000}"/>
    <cellStyle name="Normal 20 9" xfId="7389" xr:uid="{00000000-0005-0000-0000-00002F0F0000}"/>
    <cellStyle name="Normal 21" xfId="1548" xr:uid="{00000000-0005-0000-0000-0000300F0000}"/>
    <cellStyle name="Normal 21 10" xfId="7390" xr:uid="{00000000-0005-0000-0000-0000310F0000}"/>
    <cellStyle name="Normal 21 11" xfId="7391" xr:uid="{00000000-0005-0000-0000-0000320F0000}"/>
    <cellStyle name="Normal 21 12" xfId="7392" xr:uid="{00000000-0005-0000-0000-0000330F0000}"/>
    <cellStyle name="Normal 21 2" xfId="7393" xr:uid="{00000000-0005-0000-0000-0000340F0000}"/>
    <cellStyle name="Normal 21 2 10" xfId="7394" xr:uid="{00000000-0005-0000-0000-0000350F0000}"/>
    <cellStyle name="Normal 21 2 11" xfId="7395" xr:uid="{00000000-0005-0000-0000-0000360F0000}"/>
    <cellStyle name="Normal 21 2 2" xfId="7396" xr:uid="{00000000-0005-0000-0000-0000370F0000}"/>
    <cellStyle name="Normal 21 2 2 2" xfId="7397" xr:uid="{00000000-0005-0000-0000-0000380F0000}"/>
    <cellStyle name="Normal 21 2 2 2 2" xfId="7398" xr:uid="{00000000-0005-0000-0000-0000390F0000}"/>
    <cellStyle name="Normal 21 2 2 2 2 2" xfId="7399" xr:uid="{00000000-0005-0000-0000-00003A0F0000}"/>
    <cellStyle name="Normal 21 2 2 2 2 2 2" xfId="7400" xr:uid="{00000000-0005-0000-0000-00003B0F0000}"/>
    <cellStyle name="Normal 21 2 2 2 2 3" xfId="7401" xr:uid="{00000000-0005-0000-0000-00003C0F0000}"/>
    <cellStyle name="Normal 21 2 2 2 2 4" xfId="7402" xr:uid="{00000000-0005-0000-0000-00003D0F0000}"/>
    <cellStyle name="Normal 21 2 2 2 2 5" xfId="7403" xr:uid="{00000000-0005-0000-0000-00003E0F0000}"/>
    <cellStyle name="Normal 21 2 2 2 2 6" xfId="7404" xr:uid="{00000000-0005-0000-0000-00003F0F0000}"/>
    <cellStyle name="Normal 21 2 2 2 2 7" xfId="7405" xr:uid="{00000000-0005-0000-0000-0000400F0000}"/>
    <cellStyle name="Normal 21 2 2 2 2 8" xfId="7406" xr:uid="{00000000-0005-0000-0000-0000410F0000}"/>
    <cellStyle name="Normal 21 2 2 2 2 9" xfId="7407" xr:uid="{00000000-0005-0000-0000-0000420F0000}"/>
    <cellStyle name="Normal 21 2 2 2 3" xfId="7408" xr:uid="{00000000-0005-0000-0000-0000430F0000}"/>
    <cellStyle name="Normal 21 2 2 2 4" xfId="7409" xr:uid="{00000000-0005-0000-0000-0000440F0000}"/>
    <cellStyle name="Normal 21 2 2 2 5" xfId="7410" xr:uid="{00000000-0005-0000-0000-0000450F0000}"/>
    <cellStyle name="Normal 21 2 2 2 6" xfId="7411" xr:uid="{00000000-0005-0000-0000-0000460F0000}"/>
    <cellStyle name="Normal 21 2 2 2 7" xfId="7412" xr:uid="{00000000-0005-0000-0000-0000470F0000}"/>
    <cellStyle name="Normal 21 2 2 2 8" xfId="7413" xr:uid="{00000000-0005-0000-0000-0000480F0000}"/>
    <cellStyle name="Normal 21 2 2 2 9" xfId="7414" xr:uid="{00000000-0005-0000-0000-0000490F0000}"/>
    <cellStyle name="Normal 21 2 2 3" xfId="7415" xr:uid="{00000000-0005-0000-0000-00004A0F0000}"/>
    <cellStyle name="Normal 21 2 2 4" xfId="7416" xr:uid="{00000000-0005-0000-0000-00004B0F0000}"/>
    <cellStyle name="Normal 21 2 2 5" xfId="7417" xr:uid="{00000000-0005-0000-0000-00004C0F0000}"/>
    <cellStyle name="Normal 21 2 2 6" xfId="7418" xr:uid="{00000000-0005-0000-0000-00004D0F0000}"/>
    <cellStyle name="Normal 21 2 2 7" xfId="7419" xr:uid="{00000000-0005-0000-0000-00004E0F0000}"/>
    <cellStyle name="Normal 21 2 2 8" xfId="7420" xr:uid="{00000000-0005-0000-0000-00004F0F0000}"/>
    <cellStyle name="Normal 21 2 2 9" xfId="7421" xr:uid="{00000000-0005-0000-0000-0000500F0000}"/>
    <cellStyle name="Normal 21 2 3" xfId="7422" xr:uid="{00000000-0005-0000-0000-0000510F0000}"/>
    <cellStyle name="Normal 21 2 4" xfId="7423" xr:uid="{00000000-0005-0000-0000-0000520F0000}"/>
    <cellStyle name="Normal 21 2 5" xfId="7424" xr:uid="{00000000-0005-0000-0000-0000530F0000}"/>
    <cellStyle name="Normal 21 2 6" xfId="7425" xr:uid="{00000000-0005-0000-0000-0000540F0000}"/>
    <cellStyle name="Normal 21 2 7" xfId="7426" xr:uid="{00000000-0005-0000-0000-0000550F0000}"/>
    <cellStyle name="Normal 21 2 8" xfId="7427" xr:uid="{00000000-0005-0000-0000-0000560F0000}"/>
    <cellStyle name="Normal 21 2 9" xfId="7428" xr:uid="{00000000-0005-0000-0000-0000570F0000}"/>
    <cellStyle name="Normal 21 3" xfId="7429" xr:uid="{00000000-0005-0000-0000-0000580F0000}"/>
    <cellStyle name="Normal 21 3 2" xfId="7430" xr:uid="{00000000-0005-0000-0000-0000590F0000}"/>
    <cellStyle name="Normal 21 3 2 2" xfId="7431" xr:uid="{00000000-0005-0000-0000-00005A0F0000}"/>
    <cellStyle name="Normal 21 4" xfId="7432" xr:uid="{00000000-0005-0000-0000-00005B0F0000}"/>
    <cellStyle name="Normal 21 5" xfId="7433" xr:uid="{00000000-0005-0000-0000-00005C0F0000}"/>
    <cellStyle name="Normal 21 6" xfId="7434" xr:uid="{00000000-0005-0000-0000-00005D0F0000}"/>
    <cellStyle name="Normal 21 7" xfId="7435" xr:uid="{00000000-0005-0000-0000-00005E0F0000}"/>
    <cellStyle name="Normal 21 8" xfId="7436" xr:uid="{00000000-0005-0000-0000-00005F0F0000}"/>
    <cellStyle name="Normal 21 9" xfId="7437" xr:uid="{00000000-0005-0000-0000-0000600F0000}"/>
    <cellStyle name="Normal 22" xfId="1549" xr:uid="{00000000-0005-0000-0000-0000610F0000}"/>
    <cellStyle name="Normal 22 2" xfId="7438" xr:uid="{00000000-0005-0000-0000-0000620F0000}"/>
    <cellStyle name="Normal 22 3" xfId="7439" xr:uid="{00000000-0005-0000-0000-0000630F0000}"/>
    <cellStyle name="Normal 22 4" xfId="7440" xr:uid="{00000000-0005-0000-0000-0000640F0000}"/>
    <cellStyle name="Normal 22 5" xfId="7441" xr:uid="{00000000-0005-0000-0000-0000650F0000}"/>
    <cellStyle name="Normal 22 6" xfId="7442" xr:uid="{00000000-0005-0000-0000-0000660F0000}"/>
    <cellStyle name="Normal 22 7" xfId="7443" xr:uid="{00000000-0005-0000-0000-0000670F0000}"/>
    <cellStyle name="Normal 22 8" xfId="7444" xr:uid="{00000000-0005-0000-0000-0000680F0000}"/>
    <cellStyle name="Normal 22 9" xfId="7445" xr:uid="{00000000-0005-0000-0000-0000690F0000}"/>
    <cellStyle name="Normal 23" xfId="1550" xr:uid="{00000000-0005-0000-0000-00006A0F0000}"/>
    <cellStyle name="Normal 23 2" xfId="7446" xr:uid="{00000000-0005-0000-0000-00006B0F0000}"/>
    <cellStyle name="Normal 23 3" xfId="7447" xr:uid="{00000000-0005-0000-0000-00006C0F0000}"/>
    <cellStyle name="Normal 23 4" xfId="7448" xr:uid="{00000000-0005-0000-0000-00006D0F0000}"/>
    <cellStyle name="Normal 23 5" xfId="7449" xr:uid="{00000000-0005-0000-0000-00006E0F0000}"/>
    <cellStyle name="Normal 24" xfId="7450" xr:uid="{00000000-0005-0000-0000-00006F0F0000}"/>
    <cellStyle name="Normal 25" xfId="7451" xr:uid="{00000000-0005-0000-0000-0000700F0000}"/>
    <cellStyle name="Normal 26" xfId="7452" xr:uid="{00000000-0005-0000-0000-0000710F0000}"/>
    <cellStyle name="Normal 27" xfId="7453" xr:uid="{00000000-0005-0000-0000-0000720F0000}"/>
    <cellStyle name="Normal 28" xfId="7454" xr:uid="{00000000-0005-0000-0000-0000730F0000}"/>
    <cellStyle name="Normal 29" xfId="7455" xr:uid="{00000000-0005-0000-0000-0000740F0000}"/>
    <cellStyle name="Normal 3" xfId="1551" xr:uid="{00000000-0005-0000-0000-0000750F0000}"/>
    <cellStyle name="Normal 3 10" xfId="1552" xr:uid="{00000000-0005-0000-0000-0000760F0000}"/>
    <cellStyle name="Normal 3 11" xfId="1553" xr:uid="{00000000-0005-0000-0000-0000770F0000}"/>
    <cellStyle name="Normal 3 11 2" xfId="7456" xr:uid="{00000000-0005-0000-0000-0000780F0000}"/>
    <cellStyle name="Normal 3 12" xfId="1554" xr:uid="{00000000-0005-0000-0000-0000790F0000}"/>
    <cellStyle name="Normal 3 12 2" xfId="7457" xr:uid="{00000000-0005-0000-0000-00007A0F0000}"/>
    <cellStyle name="Normal 3 13" xfId="1555" xr:uid="{00000000-0005-0000-0000-00007B0F0000}"/>
    <cellStyle name="Normal 3 13 2" xfId="7458" xr:uid="{00000000-0005-0000-0000-00007C0F0000}"/>
    <cellStyle name="Normal 3 14" xfId="1556" xr:uid="{00000000-0005-0000-0000-00007D0F0000}"/>
    <cellStyle name="Normal 3 14 2" xfId="7459" xr:uid="{00000000-0005-0000-0000-00007E0F0000}"/>
    <cellStyle name="Normal 3 15" xfId="1557" xr:uid="{00000000-0005-0000-0000-00007F0F0000}"/>
    <cellStyle name="Normal 3 15 2" xfId="7460" xr:uid="{00000000-0005-0000-0000-0000800F0000}"/>
    <cellStyle name="Normal 3 16" xfId="1558" xr:uid="{00000000-0005-0000-0000-0000810F0000}"/>
    <cellStyle name="Normal 3 17" xfId="1559" xr:uid="{00000000-0005-0000-0000-0000820F0000}"/>
    <cellStyle name="Normal 3 18" xfId="1560" xr:uid="{00000000-0005-0000-0000-0000830F0000}"/>
    <cellStyle name="Normal 3 19" xfId="7461" xr:uid="{00000000-0005-0000-0000-0000840F0000}"/>
    <cellStyle name="Normal 3 2" xfId="1561" xr:uid="{00000000-0005-0000-0000-0000850F0000}"/>
    <cellStyle name="Normal 3 2 10" xfId="1562" xr:uid="{00000000-0005-0000-0000-0000860F0000}"/>
    <cellStyle name="Normal 3 2 10 2" xfId="7462" xr:uid="{00000000-0005-0000-0000-0000870F0000}"/>
    <cellStyle name="Normal 3 2 10 3" xfId="7463" xr:uid="{00000000-0005-0000-0000-0000880F0000}"/>
    <cellStyle name="Normal 3 2 10 4" xfId="7464" xr:uid="{00000000-0005-0000-0000-0000890F0000}"/>
    <cellStyle name="Normal 3 2 11" xfId="1563" xr:uid="{00000000-0005-0000-0000-00008A0F0000}"/>
    <cellStyle name="Normal 3 2 11 2" xfId="7465" xr:uid="{00000000-0005-0000-0000-00008B0F0000}"/>
    <cellStyle name="Normal 3 2 11 3" xfId="7466" xr:uid="{00000000-0005-0000-0000-00008C0F0000}"/>
    <cellStyle name="Normal 3 2 11 4" xfId="7467" xr:uid="{00000000-0005-0000-0000-00008D0F0000}"/>
    <cellStyle name="Normal 3 2 12" xfId="1564" xr:uid="{00000000-0005-0000-0000-00008E0F0000}"/>
    <cellStyle name="Normal 3 2 12 2" xfId="7468" xr:uid="{00000000-0005-0000-0000-00008F0F0000}"/>
    <cellStyle name="Normal 3 2 12 3" xfId="7469" xr:uid="{00000000-0005-0000-0000-0000900F0000}"/>
    <cellStyle name="Normal 3 2 12 4" xfId="7470" xr:uid="{00000000-0005-0000-0000-0000910F0000}"/>
    <cellStyle name="Normal 3 2 13" xfId="1565" xr:uid="{00000000-0005-0000-0000-0000920F0000}"/>
    <cellStyle name="Normal 3 2 13 2" xfId="7471" xr:uid="{00000000-0005-0000-0000-0000930F0000}"/>
    <cellStyle name="Normal 3 2 13 3" xfId="7472" xr:uid="{00000000-0005-0000-0000-0000940F0000}"/>
    <cellStyle name="Normal 3 2 13 4" xfId="7473" xr:uid="{00000000-0005-0000-0000-0000950F0000}"/>
    <cellStyle name="Normal 3 2 14" xfId="1566" xr:uid="{00000000-0005-0000-0000-0000960F0000}"/>
    <cellStyle name="Normal 3 2 14 2" xfId="7474" xr:uid="{00000000-0005-0000-0000-0000970F0000}"/>
    <cellStyle name="Normal 3 2 14 3" xfId="7475" xr:uid="{00000000-0005-0000-0000-0000980F0000}"/>
    <cellStyle name="Normal 3 2 14 4" xfId="7476" xr:uid="{00000000-0005-0000-0000-0000990F0000}"/>
    <cellStyle name="Normal 3 2 15" xfId="1567" xr:uid="{00000000-0005-0000-0000-00009A0F0000}"/>
    <cellStyle name="Normal 3 2 15 2" xfId="7477" xr:uid="{00000000-0005-0000-0000-00009B0F0000}"/>
    <cellStyle name="Normal 3 2 15 3" xfId="7478" xr:uid="{00000000-0005-0000-0000-00009C0F0000}"/>
    <cellStyle name="Normal 3 2 16" xfId="7479" xr:uid="{00000000-0005-0000-0000-00009D0F0000}"/>
    <cellStyle name="Normal 3 2 16 2" xfId="7480" xr:uid="{00000000-0005-0000-0000-00009E0F0000}"/>
    <cellStyle name="Normal 3 2 16 3" xfId="7481" xr:uid="{00000000-0005-0000-0000-00009F0F0000}"/>
    <cellStyle name="Normal 3 2 17" xfId="7482" xr:uid="{00000000-0005-0000-0000-0000A00F0000}"/>
    <cellStyle name="Normal 3 2 17 2" xfId="7483" xr:uid="{00000000-0005-0000-0000-0000A10F0000}"/>
    <cellStyle name="Normal 3 2 17 3" xfId="7484" xr:uid="{00000000-0005-0000-0000-0000A20F0000}"/>
    <cellStyle name="Normal 3 2 18" xfId="7485" xr:uid="{00000000-0005-0000-0000-0000A30F0000}"/>
    <cellStyle name="Normal 3 2 18 2" xfId="7486" xr:uid="{00000000-0005-0000-0000-0000A40F0000}"/>
    <cellStyle name="Normal 3 2 18 3" xfId="7487" xr:uid="{00000000-0005-0000-0000-0000A50F0000}"/>
    <cellStyle name="Normal 3 2 19" xfId="7488" xr:uid="{00000000-0005-0000-0000-0000A60F0000}"/>
    <cellStyle name="Normal 3 2 19 2" xfId="7489" xr:uid="{00000000-0005-0000-0000-0000A70F0000}"/>
    <cellStyle name="Normal 3 2 19 3" xfId="7490" xr:uid="{00000000-0005-0000-0000-0000A80F0000}"/>
    <cellStyle name="Normal 3 2 2" xfId="1568" xr:uid="{00000000-0005-0000-0000-0000A90F0000}"/>
    <cellStyle name="Normal 3 2 2 10" xfId="7491" xr:uid="{00000000-0005-0000-0000-0000AA0F0000}"/>
    <cellStyle name="Normal 3 2 2 11" xfId="7492" xr:uid="{00000000-0005-0000-0000-0000AB0F0000}"/>
    <cellStyle name="Normal 3 2 2 12" xfId="7493" xr:uid="{00000000-0005-0000-0000-0000AC0F0000}"/>
    <cellStyle name="Normal 3 2 2 13" xfId="7494" xr:uid="{00000000-0005-0000-0000-0000AD0F0000}"/>
    <cellStyle name="Normal 3 2 2 14" xfId="7495" xr:uid="{00000000-0005-0000-0000-0000AE0F0000}"/>
    <cellStyle name="Normal 3 2 2 15" xfId="7496" xr:uid="{00000000-0005-0000-0000-0000AF0F0000}"/>
    <cellStyle name="Normal 3 2 2 16" xfId="7497" xr:uid="{00000000-0005-0000-0000-0000B00F0000}"/>
    <cellStyle name="Normal 3 2 2 17" xfId="7498" xr:uid="{00000000-0005-0000-0000-0000B10F0000}"/>
    <cellStyle name="Normal 3 2 2 18" xfId="7499" xr:uid="{00000000-0005-0000-0000-0000B20F0000}"/>
    <cellStyle name="Normal 3 2 2 2" xfId="1569" xr:uid="{00000000-0005-0000-0000-0000B30F0000}"/>
    <cellStyle name="Normal 3 2 2 2 10" xfId="7500" xr:uid="{00000000-0005-0000-0000-0000B40F0000}"/>
    <cellStyle name="Normal 3 2 2 2 10 2" xfId="7501" xr:uid="{00000000-0005-0000-0000-0000B50F0000}"/>
    <cellStyle name="Normal 3 2 2 2 10 3" xfId="7502" xr:uid="{00000000-0005-0000-0000-0000B60F0000}"/>
    <cellStyle name="Normal 3 2 2 2 11" xfId="7503" xr:uid="{00000000-0005-0000-0000-0000B70F0000}"/>
    <cellStyle name="Normal 3 2 2 2 11 2" xfId="7504" xr:uid="{00000000-0005-0000-0000-0000B80F0000}"/>
    <cellStyle name="Normal 3 2 2 2 11 3" xfId="7505" xr:uid="{00000000-0005-0000-0000-0000B90F0000}"/>
    <cellStyle name="Normal 3 2 2 2 12" xfId="7506" xr:uid="{00000000-0005-0000-0000-0000BA0F0000}"/>
    <cellStyle name="Normal 3 2 2 2 12 2" xfId="7507" xr:uid="{00000000-0005-0000-0000-0000BB0F0000}"/>
    <cellStyle name="Normal 3 2 2 2 12 3" xfId="7508" xr:uid="{00000000-0005-0000-0000-0000BC0F0000}"/>
    <cellStyle name="Normal 3 2 2 2 13" xfId="7509" xr:uid="{00000000-0005-0000-0000-0000BD0F0000}"/>
    <cellStyle name="Normal 3 2 2 2 13 2" xfId="7510" xr:uid="{00000000-0005-0000-0000-0000BE0F0000}"/>
    <cellStyle name="Normal 3 2 2 2 13 3" xfId="7511" xr:uid="{00000000-0005-0000-0000-0000BF0F0000}"/>
    <cellStyle name="Normal 3 2 2 2 14" xfId="7512" xr:uid="{00000000-0005-0000-0000-0000C00F0000}"/>
    <cellStyle name="Normal 3 2 2 2 14 2" xfId="7513" xr:uid="{00000000-0005-0000-0000-0000C10F0000}"/>
    <cellStyle name="Normal 3 2 2 2 14 3" xfId="7514" xr:uid="{00000000-0005-0000-0000-0000C20F0000}"/>
    <cellStyle name="Normal 3 2 2 2 15" xfId="7515" xr:uid="{00000000-0005-0000-0000-0000C30F0000}"/>
    <cellStyle name="Normal 3 2 2 2 15 2" xfId="7516" xr:uid="{00000000-0005-0000-0000-0000C40F0000}"/>
    <cellStyle name="Normal 3 2 2 2 15 3" xfId="7517" xr:uid="{00000000-0005-0000-0000-0000C50F0000}"/>
    <cellStyle name="Normal 3 2 2 2 2" xfId="7518" xr:uid="{00000000-0005-0000-0000-0000C60F0000}"/>
    <cellStyle name="Normal 3 2 2 2 2 10" xfId="7519" xr:uid="{00000000-0005-0000-0000-0000C70F0000}"/>
    <cellStyle name="Normal 3 2 2 2 2 11" xfId="7520" xr:uid="{00000000-0005-0000-0000-0000C80F0000}"/>
    <cellStyle name="Normal 3 2 2 2 2 12" xfId="7521" xr:uid="{00000000-0005-0000-0000-0000C90F0000}"/>
    <cellStyle name="Normal 3 2 2 2 2 13" xfId="7522" xr:uid="{00000000-0005-0000-0000-0000CA0F0000}"/>
    <cellStyle name="Normal 3 2 2 2 2 14" xfId="7523" xr:uid="{00000000-0005-0000-0000-0000CB0F0000}"/>
    <cellStyle name="Normal 3 2 2 2 2 15" xfId="7524" xr:uid="{00000000-0005-0000-0000-0000CC0F0000}"/>
    <cellStyle name="Normal 3 2 2 2 2 16" xfId="7525" xr:uid="{00000000-0005-0000-0000-0000CD0F0000}"/>
    <cellStyle name="Normal 3 2 2 2 2 17" xfId="7526" xr:uid="{00000000-0005-0000-0000-0000CE0F0000}"/>
    <cellStyle name="Normal 3 2 2 2 2 2" xfId="7527" xr:uid="{00000000-0005-0000-0000-0000CF0F0000}"/>
    <cellStyle name="Normal 3 2 2 2 2 3" xfId="7528" xr:uid="{00000000-0005-0000-0000-0000D00F0000}"/>
    <cellStyle name="Normal 3 2 2 2 2 4" xfId="7529" xr:uid="{00000000-0005-0000-0000-0000D10F0000}"/>
    <cellStyle name="Normal 3 2 2 2 2 5" xfId="7530" xr:uid="{00000000-0005-0000-0000-0000D20F0000}"/>
    <cellStyle name="Normal 3 2 2 2 2 6" xfId="7531" xr:uid="{00000000-0005-0000-0000-0000D30F0000}"/>
    <cellStyle name="Normal 3 2 2 2 2 7" xfId="7532" xr:uid="{00000000-0005-0000-0000-0000D40F0000}"/>
    <cellStyle name="Normal 3 2 2 2 2 8" xfId="7533" xr:uid="{00000000-0005-0000-0000-0000D50F0000}"/>
    <cellStyle name="Normal 3 2 2 2 2 9" xfId="7534" xr:uid="{00000000-0005-0000-0000-0000D60F0000}"/>
    <cellStyle name="Normal 3 2 2 2 3" xfId="7535" xr:uid="{00000000-0005-0000-0000-0000D70F0000}"/>
    <cellStyle name="Normal 3 2 2 2 3 2" xfId="7536" xr:uid="{00000000-0005-0000-0000-0000D80F0000}"/>
    <cellStyle name="Normal 3 2 2 2 3 3" xfId="7537" xr:uid="{00000000-0005-0000-0000-0000D90F0000}"/>
    <cellStyle name="Normal 3 2 2 2 4" xfId="7538" xr:uid="{00000000-0005-0000-0000-0000DA0F0000}"/>
    <cellStyle name="Normal 3 2 2 2 4 2" xfId="7539" xr:uid="{00000000-0005-0000-0000-0000DB0F0000}"/>
    <cellStyle name="Normal 3 2 2 2 4 3" xfId="7540" xr:uid="{00000000-0005-0000-0000-0000DC0F0000}"/>
    <cellStyle name="Normal 3 2 2 2 5" xfId="7541" xr:uid="{00000000-0005-0000-0000-0000DD0F0000}"/>
    <cellStyle name="Normal 3 2 2 2 5 2" xfId="7542" xr:uid="{00000000-0005-0000-0000-0000DE0F0000}"/>
    <cellStyle name="Normal 3 2 2 2 5 3" xfId="7543" xr:uid="{00000000-0005-0000-0000-0000DF0F0000}"/>
    <cellStyle name="Normal 3 2 2 2 6" xfId="7544" xr:uid="{00000000-0005-0000-0000-0000E00F0000}"/>
    <cellStyle name="Normal 3 2 2 2 6 2" xfId="7545" xr:uid="{00000000-0005-0000-0000-0000E10F0000}"/>
    <cellStyle name="Normal 3 2 2 2 6 3" xfId="7546" xr:uid="{00000000-0005-0000-0000-0000E20F0000}"/>
    <cellStyle name="Normal 3 2 2 2 7" xfId="7547" xr:uid="{00000000-0005-0000-0000-0000E30F0000}"/>
    <cellStyle name="Normal 3 2 2 2 7 2" xfId="7548" xr:uid="{00000000-0005-0000-0000-0000E40F0000}"/>
    <cellStyle name="Normal 3 2 2 2 7 3" xfId="7549" xr:uid="{00000000-0005-0000-0000-0000E50F0000}"/>
    <cellStyle name="Normal 3 2 2 2 8" xfId="7550" xr:uid="{00000000-0005-0000-0000-0000E60F0000}"/>
    <cellStyle name="Normal 3 2 2 2 8 2" xfId="7551" xr:uid="{00000000-0005-0000-0000-0000E70F0000}"/>
    <cellStyle name="Normal 3 2 2 2 8 3" xfId="7552" xr:uid="{00000000-0005-0000-0000-0000E80F0000}"/>
    <cellStyle name="Normal 3 2 2 2 9" xfId="7553" xr:uid="{00000000-0005-0000-0000-0000E90F0000}"/>
    <cellStyle name="Normal 3 2 2 2 9 2" xfId="7554" xr:uid="{00000000-0005-0000-0000-0000EA0F0000}"/>
    <cellStyle name="Normal 3 2 2 2 9 3" xfId="7555" xr:uid="{00000000-0005-0000-0000-0000EB0F0000}"/>
    <cellStyle name="Normal 3 2 2 3" xfId="7556" xr:uid="{00000000-0005-0000-0000-0000EC0F0000}"/>
    <cellStyle name="Normal 3 2 2 4" xfId="7557" xr:uid="{00000000-0005-0000-0000-0000ED0F0000}"/>
    <cellStyle name="Normal 3 2 2 5" xfId="7558" xr:uid="{00000000-0005-0000-0000-0000EE0F0000}"/>
    <cellStyle name="Normal 3 2 2 6" xfId="7559" xr:uid="{00000000-0005-0000-0000-0000EF0F0000}"/>
    <cellStyle name="Normal 3 2 2 7" xfId="7560" xr:uid="{00000000-0005-0000-0000-0000F00F0000}"/>
    <cellStyle name="Normal 3 2 2 8" xfId="7561" xr:uid="{00000000-0005-0000-0000-0000F10F0000}"/>
    <cellStyle name="Normal 3 2 2 9" xfId="7562" xr:uid="{00000000-0005-0000-0000-0000F20F0000}"/>
    <cellStyle name="Normal 3 2 20" xfId="7563" xr:uid="{00000000-0005-0000-0000-0000F30F0000}"/>
    <cellStyle name="Normal 3 2 20 2" xfId="7564" xr:uid="{00000000-0005-0000-0000-0000F40F0000}"/>
    <cellStyle name="Normal 3 2 20 3" xfId="7565" xr:uid="{00000000-0005-0000-0000-0000F50F0000}"/>
    <cellStyle name="Normal 3 2 21" xfId="7566" xr:uid="{00000000-0005-0000-0000-0000F60F0000}"/>
    <cellStyle name="Normal 3 2 21 2" xfId="7567" xr:uid="{00000000-0005-0000-0000-0000F70F0000}"/>
    <cellStyle name="Normal 3 2 21 3" xfId="7568" xr:uid="{00000000-0005-0000-0000-0000F80F0000}"/>
    <cellStyle name="Normal 3 2 22" xfId="7569" xr:uid="{00000000-0005-0000-0000-0000F90F0000}"/>
    <cellStyle name="Normal 3 2 22 2" xfId="7570" xr:uid="{00000000-0005-0000-0000-0000FA0F0000}"/>
    <cellStyle name="Normal 3 2 22 3" xfId="7571" xr:uid="{00000000-0005-0000-0000-0000FB0F0000}"/>
    <cellStyle name="Normal 3 2 23" xfId="7572" xr:uid="{00000000-0005-0000-0000-0000FC0F0000}"/>
    <cellStyle name="Normal 3 2 23 2" xfId="7573" xr:uid="{00000000-0005-0000-0000-0000FD0F0000}"/>
    <cellStyle name="Normal 3 2 23 3" xfId="7574" xr:uid="{00000000-0005-0000-0000-0000FE0F0000}"/>
    <cellStyle name="Normal 3 2 24" xfId="7575" xr:uid="{00000000-0005-0000-0000-0000FF0F0000}"/>
    <cellStyle name="Normal 3 2 25" xfId="7576" xr:uid="{00000000-0005-0000-0000-000000100000}"/>
    <cellStyle name="Normal 3 2 26" xfId="7577" xr:uid="{00000000-0005-0000-0000-000001100000}"/>
    <cellStyle name="Normal 3 2 27" xfId="7578" xr:uid="{00000000-0005-0000-0000-000002100000}"/>
    <cellStyle name="Normal 3 2 28" xfId="7579" xr:uid="{00000000-0005-0000-0000-000003100000}"/>
    <cellStyle name="Normal 3 2 29" xfId="7580" xr:uid="{00000000-0005-0000-0000-000004100000}"/>
    <cellStyle name="Normal 3 2 3" xfId="1570" xr:uid="{00000000-0005-0000-0000-000005100000}"/>
    <cellStyle name="Normal 3 2 3 10" xfId="7581" xr:uid="{00000000-0005-0000-0000-000006100000}"/>
    <cellStyle name="Normal 3 2 3 11" xfId="7582" xr:uid="{00000000-0005-0000-0000-000007100000}"/>
    <cellStyle name="Normal 3 2 3 12" xfId="7583" xr:uid="{00000000-0005-0000-0000-000008100000}"/>
    <cellStyle name="Normal 3 2 3 13" xfId="7584" xr:uid="{00000000-0005-0000-0000-000009100000}"/>
    <cellStyle name="Normal 3 2 3 14" xfId="7585" xr:uid="{00000000-0005-0000-0000-00000A100000}"/>
    <cellStyle name="Normal 3 2 3 15" xfId="7586" xr:uid="{00000000-0005-0000-0000-00000B100000}"/>
    <cellStyle name="Normal 3 2 3 16" xfId="7587" xr:uid="{00000000-0005-0000-0000-00000C100000}"/>
    <cellStyle name="Normal 3 2 3 17" xfId="7588" xr:uid="{00000000-0005-0000-0000-00000D100000}"/>
    <cellStyle name="Normal 3 2 3 2" xfId="1571" xr:uid="{00000000-0005-0000-0000-00000E100000}"/>
    <cellStyle name="Normal 3 2 3 3" xfId="7589" xr:uid="{00000000-0005-0000-0000-00000F100000}"/>
    <cellStyle name="Normal 3 2 3 4" xfId="7590" xr:uid="{00000000-0005-0000-0000-000010100000}"/>
    <cellStyle name="Normal 3 2 3 5" xfId="7591" xr:uid="{00000000-0005-0000-0000-000011100000}"/>
    <cellStyle name="Normal 3 2 3 6" xfId="7592" xr:uid="{00000000-0005-0000-0000-000012100000}"/>
    <cellStyle name="Normal 3 2 3 7" xfId="7593" xr:uid="{00000000-0005-0000-0000-000013100000}"/>
    <cellStyle name="Normal 3 2 3 8" xfId="7594" xr:uid="{00000000-0005-0000-0000-000014100000}"/>
    <cellStyle name="Normal 3 2 3 9" xfId="7595" xr:uid="{00000000-0005-0000-0000-000015100000}"/>
    <cellStyle name="Normal 3 2 30" xfId="7596" xr:uid="{00000000-0005-0000-0000-000016100000}"/>
    <cellStyle name="Normal 3 2 4" xfId="1572" xr:uid="{00000000-0005-0000-0000-000017100000}"/>
    <cellStyle name="Normal 3 2 4 2" xfId="1573" xr:uid="{00000000-0005-0000-0000-000018100000}"/>
    <cellStyle name="Normal 3 2 4 2 2" xfId="7597" xr:uid="{00000000-0005-0000-0000-000019100000}"/>
    <cellStyle name="Normal 3 2 4 2 3" xfId="7598" xr:uid="{00000000-0005-0000-0000-00001A100000}"/>
    <cellStyle name="Normal 3 2 4 3" xfId="1574" xr:uid="{00000000-0005-0000-0000-00001B100000}"/>
    <cellStyle name="Normal 3 2 4 3 2" xfId="7599" xr:uid="{00000000-0005-0000-0000-00001C100000}"/>
    <cellStyle name="Normal 3 2 4 3 3" xfId="7600" xr:uid="{00000000-0005-0000-0000-00001D100000}"/>
    <cellStyle name="Normal 3 2 4 4" xfId="7601" xr:uid="{00000000-0005-0000-0000-00001E100000}"/>
    <cellStyle name="Normal 3 2 4 5" xfId="7602" xr:uid="{00000000-0005-0000-0000-00001F100000}"/>
    <cellStyle name="Normal 3 2 5" xfId="1575" xr:uid="{00000000-0005-0000-0000-000020100000}"/>
    <cellStyle name="Normal 3 2 5 2" xfId="1576" xr:uid="{00000000-0005-0000-0000-000021100000}"/>
    <cellStyle name="Normal 3 2 5 2 2" xfId="1577" xr:uid="{00000000-0005-0000-0000-000022100000}"/>
    <cellStyle name="Normal 3 2 5 3" xfId="1578" xr:uid="{00000000-0005-0000-0000-000023100000}"/>
    <cellStyle name="Normal 3 2 5 4" xfId="7603" xr:uid="{00000000-0005-0000-0000-000024100000}"/>
    <cellStyle name="Normal 3 2 5 5" xfId="7604" xr:uid="{00000000-0005-0000-0000-000025100000}"/>
    <cellStyle name="Normal 3 2 5 6" xfId="7605" xr:uid="{00000000-0005-0000-0000-000026100000}"/>
    <cellStyle name="Normal 3 2 5 7" xfId="7606" xr:uid="{00000000-0005-0000-0000-000027100000}"/>
    <cellStyle name="Normal 3 2 5 8" xfId="7607" xr:uid="{00000000-0005-0000-0000-000028100000}"/>
    <cellStyle name="Normal 3 2 5 9" xfId="7608" xr:uid="{00000000-0005-0000-0000-000029100000}"/>
    <cellStyle name="Normal 3 2 6" xfId="1579" xr:uid="{00000000-0005-0000-0000-00002A100000}"/>
    <cellStyle name="Normal 3 2 6 2" xfId="1580" xr:uid="{00000000-0005-0000-0000-00002B100000}"/>
    <cellStyle name="Normal 3 2 6 3" xfId="7609" xr:uid="{00000000-0005-0000-0000-00002C100000}"/>
    <cellStyle name="Normal 3 2 6 4" xfId="7610" xr:uid="{00000000-0005-0000-0000-00002D100000}"/>
    <cellStyle name="Normal 3 2 6 5" xfId="7611" xr:uid="{00000000-0005-0000-0000-00002E100000}"/>
    <cellStyle name="Normal 3 2 6 6" xfId="7612" xr:uid="{00000000-0005-0000-0000-00002F100000}"/>
    <cellStyle name="Normal 3 2 6 7" xfId="7613" xr:uid="{00000000-0005-0000-0000-000030100000}"/>
    <cellStyle name="Normal 3 2 6 8" xfId="7614" xr:uid="{00000000-0005-0000-0000-000031100000}"/>
    <cellStyle name="Normal 3 2 6 9" xfId="7615" xr:uid="{00000000-0005-0000-0000-000032100000}"/>
    <cellStyle name="Normal 3 2 7" xfId="1581" xr:uid="{00000000-0005-0000-0000-000033100000}"/>
    <cellStyle name="Normal 3 2 7 2" xfId="1582" xr:uid="{00000000-0005-0000-0000-000034100000}"/>
    <cellStyle name="Normal 3 2 7 3" xfId="7616" xr:uid="{00000000-0005-0000-0000-000035100000}"/>
    <cellStyle name="Normal 3 2 7 4" xfId="7617" xr:uid="{00000000-0005-0000-0000-000036100000}"/>
    <cellStyle name="Normal 3 2 7 5" xfId="7618" xr:uid="{00000000-0005-0000-0000-000037100000}"/>
    <cellStyle name="Normal 3 2 7 6" xfId="7619" xr:uid="{00000000-0005-0000-0000-000038100000}"/>
    <cellStyle name="Normal 3 2 7 7" xfId="7620" xr:uid="{00000000-0005-0000-0000-000039100000}"/>
    <cellStyle name="Normal 3 2 7 8" xfId="7621" xr:uid="{00000000-0005-0000-0000-00003A100000}"/>
    <cellStyle name="Normal 3 2 7 9" xfId="7622" xr:uid="{00000000-0005-0000-0000-00003B100000}"/>
    <cellStyle name="Normal 3 2 8" xfId="1583" xr:uid="{00000000-0005-0000-0000-00003C100000}"/>
    <cellStyle name="Normal 3 2 8 10" xfId="7623" xr:uid="{00000000-0005-0000-0000-00003D100000}"/>
    <cellStyle name="Normal 3 2 8 2" xfId="1584" xr:uid="{00000000-0005-0000-0000-00003E100000}"/>
    <cellStyle name="Normal 3 2 8 2 2" xfId="7624" xr:uid="{00000000-0005-0000-0000-00003F100000}"/>
    <cellStyle name="Normal 3 2 8 3" xfId="1585" xr:uid="{00000000-0005-0000-0000-000040100000}"/>
    <cellStyle name="Normal 3 2 8 4" xfId="7625" xr:uid="{00000000-0005-0000-0000-000041100000}"/>
    <cellStyle name="Normal 3 2 8 5" xfId="7626" xr:uid="{00000000-0005-0000-0000-000042100000}"/>
    <cellStyle name="Normal 3 2 8 6" xfId="7627" xr:uid="{00000000-0005-0000-0000-000043100000}"/>
    <cellStyle name="Normal 3 2 8 7" xfId="7628" xr:uid="{00000000-0005-0000-0000-000044100000}"/>
    <cellStyle name="Normal 3 2 8 8" xfId="7629" xr:uid="{00000000-0005-0000-0000-000045100000}"/>
    <cellStyle name="Normal 3 2 8 9" xfId="7630" xr:uid="{00000000-0005-0000-0000-000046100000}"/>
    <cellStyle name="Normal 3 2 9" xfId="1586" xr:uid="{00000000-0005-0000-0000-000047100000}"/>
    <cellStyle name="Normal 3 2 9 2" xfId="1587" xr:uid="{00000000-0005-0000-0000-000048100000}"/>
    <cellStyle name="Normal 3 2 9 3" xfId="7631" xr:uid="{00000000-0005-0000-0000-000049100000}"/>
    <cellStyle name="Normal 3 2_Budget incorporated 2011-2012 last101011" xfId="1588" xr:uid="{00000000-0005-0000-0000-00004A100000}"/>
    <cellStyle name="Normal 3 20" xfId="7632" xr:uid="{00000000-0005-0000-0000-00004B100000}"/>
    <cellStyle name="Normal 3 21" xfId="7633" xr:uid="{00000000-0005-0000-0000-00004C100000}"/>
    <cellStyle name="Normal 3 3" xfId="1589" xr:uid="{00000000-0005-0000-0000-00004D100000}"/>
    <cellStyle name="Normal 3 3 2" xfId="1590" xr:uid="{00000000-0005-0000-0000-00004E100000}"/>
    <cellStyle name="Normal 3 3 3" xfId="1591" xr:uid="{00000000-0005-0000-0000-00004F100000}"/>
    <cellStyle name="Normal 3 3 4" xfId="1592" xr:uid="{00000000-0005-0000-0000-000050100000}"/>
    <cellStyle name="Normal 3 3 5" xfId="1593" xr:uid="{00000000-0005-0000-0000-000051100000}"/>
    <cellStyle name="Normal 3 3 6" xfId="1594" xr:uid="{00000000-0005-0000-0000-000052100000}"/>
    <cellStyle name="Normal 3 4" xfId="1595" xr:uid="{00000000-0005-0000-0000-000053100000}"/>
    <cellStyle name="Normal 3 5" xfId="1596" xr:uid="{00000000-0005-0000-0000-000054100000}"/>
    <cellStyle name="Normal 3 6" xfId="1597" xr:uid="{00000000-0005-0000-0000-000055100000}"/>
    <cellStyle name="Normal 3 6 2" xfId="1598" xr:uid="{00000000-0005-0000-0000-000056100000}"/>
    <cellStyle name="Normal 3 7" xfId="1599" xr:uid="{00000000-0005-0000-0000-000057100000}"/>
    <cellStyle name="Normal 3 8" xfId="1600" xr:uid="{00000000-0005-0000-0000-000058100000}"/>
    <cellStyle name="Normal 3 9" xfId="1601" xr:uid="{00000000-0005-0000-0000-000059100000}"/>
    <cellStyle name="Normal 3_GEO-H-GPIC 3 months budget_ALLdraft" xfId="1602" xr:uid="{00000000-0005-0000-0000-00005A100000}"/>
    <cellStyle name="Normal 30" xfId="7634" xr:uid="{00000000-0005-0000-0000-00005B100000}"/>
    <cellStyle name="Normal 31" xfId="7635" xr:uid="{00000000-0005-0000-0000-00005C100000}"/>
    <cellStyle name="Normal 36" xfId="7636" xr:uid="{00000000-0005-0000-0000-00005D100000}"/>
    <cellStyle name="Normal 37" xfId="7637" xr:uid="{00000000-0005-0000-0000-00005E100000}"/>
    <cellStyle name="Normal 4" xfId="1603" xr:uid="{00000000-0005-0000-0000-00005F100000}"/>
    <cellStyle name="Normal 4 10" xfId="1604" xr:uid="{00000000-0005-0000-0000-000060100000}"/>
    <cellStyle name="Normal 4 11" xfId="1605" xr:uid="{00000000-0005-0000-0000-000061100000}"/>
    <cellStyle name="Normal 4 11 2" xfId="1606" xr:uid="{00000000-0005-0000-0000-000062100000}"/>
    <cellStyle name="Normal 4 11 2 2" xfId="1607" xr:uid="{00000000-0005-0000-0000-000063100000}"/>
    <cellStyle name="Normal 4 11 2 3" xfId="1608" xr:uid="{00000000-0005-0000-0000-000064100000}"/>
    <cellStyle name="Normal 4 11 2 4" xfId="1609" xr:uid="{00000000-0005-0000-0000-000065100000}"/>
    <cellStyle name="Normal 4 11 2 5" xfId="1610" xr:uid="{00000000-0005-0000-0000-000066100000}"/>
    <cellStyle name="Normal 4 11 2 6" xfId="1611" xr:uid="{00000000-0005-0000-0000-000067100000}"/>
    <cellStyle name="Normal 4 11 2 7" xfId="1612" xr:uid="{00000000-0005-0000-0000-000068100000}"/>
    <cellStyle name="Normal 4 11 3" xfId="1613" xr:uid="{00000000-0005-0000-0000-000069100000}"/>
    <cellStyle name="Normal 4 11 4" xfId="1614" xr:uid="{00000000-0005-0000-0000-00006A100000}"/>
    <cellStyle name="Normal 4 11 5" xfId="1615" xr:uid="{00000000-0005-0000-0000-00006B100000}"/>
    <cellStyle name="Normal 4 11 6" xfId="1616" xr:uid="{00000000-0005-0000-0000-00006C100000}"/>
    <cellStyle name="Normal 4 11 7" xfId="1617" xr:uid="{00000000-0005-0000-0000-00006D100000}"/>
    <cellStyle name="Normal 4 11 8" xfId="1618" xr:uid="{00000000-0005-0000-0000-00006E100000}"/>
    <cellStyle name="Normal 4 12" xfId="1619" xr:uid="{00000000-0005-0000-0000-00006F100000}"/>
    <cellStyle name="Normal 4 12 2" xfId="1620" xr:uid="{00000000-0005-0000-0000-000070100000}"/>
    <cellStyle name="Normal 4 12 2 2" xfId="1621" xr:uid="{00000000-0005-0000-0000-000071100000}"/>
    <cellStyle name="Normal 4 12 2 3" xfId="1622" xr:uid="{00000000-0005-0000-0000-000072100000}"/>
    <cellStyle name="Normal 4 12 2 4" xfId="1623" xr:uid="{00000000-0005-0000-0000-000073100000}"/>
    <cellStyle name="Normal 4 12 2 5" xfId="1624" xr:uid="{00000000-0005-0000-0000-000074100000}"/>
    <cellStyle name="Normal 4 12 2 6" xfId="1625" xr:uid="{00000000-0005-0000-0000-000075100000}"/>
    <cellStyle name="Normal 4 12 2 7" xfId="1626" xr:uid="{00000000-0005-0000-0000-000076100000}"/>
    <cellStyle name="Normal 4 12 3" xfId="1627" xr:uid="{00000000-0005-0000-0000-000077100000}"/>
    <cellStyle name="Normal 4 12 4" xfId="1628" xr:uid="{00000000-0005-0000-0000-000078100000}"/>
    <cellStyle name="Normal 4 12 5" xfId="1629" xr:uid="{00000000-0005-0000-0000-000079100000}"/>
    <cellStyle name="Normal 4 12 6" xfId="1630" xr:uid="{00000000-0005-0000-0000-00007A100000}"/>
    <cellStyle name="Normal 4 12 7" xfId="1631" xr:uid="{00000000-0005-0000-0000-00007B100000}"/>
    <cellStyle name="Normal 4 12 8" xfId="1632" xr:uid="{00000000-0005-0000-0000-00007C100000}"/>
    <cellStyle name="Normal 4 13" xfId="1633" xr:uid="{00000000-0005-0000-0000-00007D100000}"/>
    <cellStyle name="Normal 4 13 2" xfId="1634" xr:uid="{00000000-0005-0000-0000-00007E100000}"/>
    <cellStyle name="Normal 4 13 2 2" xfId="1635" xr:uid="{00000000-0005-0000-0000-00007F100000}"/>
    <cellStyle name="Normal 4 13 2 3" xfId="1636" xr:uid="{00000000-0005-0000-0000-000080100000}"/>
    <cellStyle name="Normal 4 13 2 4" xfId="1637" xr:uid="{00000000-0005-0000-0000-000081100000}"/>
    <cellStyle name="Normal 4 13 2 5" xfId="1638" xr:uid="{00000000-0005-0000-0000-000082100000}"/>
    <cellStyle name="Normal 4 13 2 6" xfId="1639" xr:uid="{00000000-0005-0000-0000-000083100000}"/>
    <cellStyle name="Normal 4 13 2 7" xfId="1640" xr:uid="{00000000-0005-0000-0000-000084100000}"/>
    <cellStyle name="Normal 4 13 3" xfId="1641" xr:uid="{00000000-0005-0000-0000-000085100000}"/>
    <cellStyle name="Normal 4 13 4" xfId="1642" xr:uid="{00000000-0005-0000-0000-000086100000}"/>
    <cellStyle name="Normal 4 13 5" xfId="1643" xr:uid="{00000000-0005-0000-0000-000087100000}"/>
    <cellStyle name="Normal 4 13 6" xfId="1644" xr:uid="{00000000-0005-0000-0000-000088100000}"/>
    <cellStyle name="Normal 4 13 7" xfId="1645" xr:uid="{00000000-0005-0000-0000-000089100000}"/>
    <cellStyle name="Normal 4 13 8" xfId="1646" xr:uid="{00000000-0005-0000-0000-00008A100000}"/>
    <cellStyle name="Normal 4 14" xfId="1647" xr:uid="{00000000-0005-0000-0000-00008B100000}"/>
    <cellStyle name="Normal 4 14 2" xfId="1648" xr:uid="{00000000-0005-0000-0000-00008C100000}"/>
    <cellStyle name="Normal 4 14 2 2" xfId="1649" xr:uid="{00000000-0005-0000-0000-00008D100000}"/>
    <cellStyle name="Normal 4 14 2 3" xfId="1650" xr:uid="{00000000-0005-0000-0000-00008E100000}"/>
    <cellStyle name="Normal 4 14 2 4" xfId="1651" xr:uid="{00000000-0005-0000-0000-00008F100000}"/>
    <cellStyle name="Normal 4 14 2 5" xfId="1652" xr:uid="{00000000-0005-0000-0000-000090100000}"/>
    <cellStyle name="Normal 4 14 2 6" xfId="1653" xr:uid="{00000000-0005-0000-0000-000091100000}"/>
    <cellStyle name="Normal 4 14 2 7" xfId="1654" xr:uid="{00000000-0005-0000-0000-000092100000}"/>
    <cellStyle name="Normal 4 14 3" xfId="1655" xr:uid="{00000000-0005-0000-0000-000093100000}"/>
    <cellStyle name="Normal 4 14 4" xfId="1656" xr:uid="{00000000-0005-0000-0000-000094100000}"/>
    <cellStyle name="Normal 4 14 5" xfId="1657" xr:uid="{00000000-0005-0000-0000-000095100000}"/>
    <cellStyle name="Normal 4 14 6" xfId="1658" xr:uid="{00000000-0005-0000-0000-000096100000}"/>
    <cellStyle name="Normal 4 14 7" xfId="1659" xr:uid="{00000000-0005-0000-0000-000097100000}"/>
    <cellStyle name="Normal 4 14 8" xfId="1660" xr:uid="{00000000-0005-0000-0000-000098100000}"/>
    <cellStyle name="Normal 4 15" xfId="1661" xr:uid="{00000000-0005-0000-0000-000099100000}"/>
    <cellStyle name="Normal 4 15 2" xfId="1662" xr:uid="{00000000-0005-0000-0000-00009A100000}"/>
    <cellStyle name="Normal 4 15 2 2" xfId="1663" xr:uid="{00000000-0005-0000-0000-00009B100000}"/>
    <cellStyle name="Normal 4 15 2 3" xfId="1664" xr:uid="{00000000-0005-0000-0000-00009C100000}"/>
    <cellStyle name="Normal 4 15 2 4" xfId="1665" xr:uid="{00000000-0005-0000-0000-00009D100000}"/>
    <cellStyle name="Normal 4 15 2 5" xfId="1666" xr:uid="{00000000-0005-0000-0000-00009E100000}"/>
    <cellStyle name="Normal 4 15 2 6" xfId="1667" xr:uid="{00000000-0005-0000-0000-00009F100000}"/>
    <cellStyle name="Normal 4 15 2 7" xfId="1668" xr:uid="{00000000-0005-0000-0000-0000A0100000}"/>
    <cellStyle name="Normal 4 15 3" xfId="1669" xr:uid="{00000000-0005-0000-0000-0000A1100000}"/>
    <cellStyle name="Normal 4 15 4" xfId="1670" xr:uid="{00000000-0005-0000-0000-0000A2100000}"/>
    <cellStyle name="Normal 4 15 5" xfId="1671" xr:uid="{00000000-0005-0000-0000-0000A3100000}"/>
    <cellStyle name="Normal 4 15 6" xfId="1672" xr:uid="{00000000-0005-0000-0000-0000A4100000}"/>
    <cellStyle name="Normal 4 15 7" xfId="1673" xr:uid="{00000000-0005-0000-0000-0000A5100000}"/>
    <cellStyle name="Normal 4 15 8" xfId="1674" xr:uid="{00000000-0005-0000-0000-0000A6100000}"/>
    <cellStyle name="Normal 4 16" xfId="1675" xr:uid="{00000000-0005-0000-0000-0000A7100000}"/>
    <cellStyle name="Normal 4 17" xfId="1676" xr:uid="{00000000-0005-0000-0000-0000A8100000}"/>
    <cellStyle name="Normal 4 18" xfId="1677" xr:uid="{00000000-0005-0000-0000-0000A9100000}"/>
    <cellStyle name="Normal 4 19" xfId="1678" xr:uid="{00000000-0005-0000-0000-0000AA100000}"/>
    <cellStyle name="Normal 4 2" xfId="1679" xr:uid="{00000000-0005-0000-0000-0000AB100000}"/>
    <cellStyle name="Normal 4 2 10" xfId="1680" xr:uid="{00000000-0005-0000-0000-0000AC100000}"/>
    <cellStyle name="Normal 4 2 2" xfId="1681" xr:uid="{00000000-0005-0000-0000-0000AD100000}"/>
    <cellStyle name="Normal 4 2 2 2" xfId="1682" xr:uid="{00000000-0005-0000-0000-0000AE100000}"/>
    <cellStyle name="Normal 4 2 2 2 2" xfId="1683" xr:uid="{00000000-0005-0000-0000-0000AF100000}"/>
    <cellStyle name="Normal 4 2 2 2 3" xfId="1684" xr:uid="{00000000-0005-0000-0000-0000B0100000}"/>
    <cellStyle name="Normal 4 2 2 2 4" xfId="1685" xr:uid="{00000000-0005-0000-0000-0000B1100000}"/>
    <cellStyle name="Normal 4 2 2 2 5" xfId="1686" xr:uid="{00000000-0005-0000-0000-0000B2100000}"/>
    <cellStyle name="Normal 4 2 2 2 6" xfId="1687" xr:uid="{00000000-0005-0000-0000-0000B3100000}"/>
    <cellStyle name="Normal 4 2 2 2 7" xfId="1688" xr:uid="{00000000-0005-0000-0000-0000B4100000}"/>
    <cellStyle name="Normal 4 2 2 3" xfId="1689" xr:uid="{00000000-0005-0000-0000-0000B5100000}"/>
    <cellStyle name="Normal 4 2 2 4" xfId="1690" xr:uid="{00000000-0005-0000-0000-0000B6100000}"/>
    <cellStyle name="Normal 4 2 2 5" xfId="1691" xr:uid="{00000000-0005-0000-0000-0000B7100000}"/>
    <cellStyle name="Normal 4 2 2 6" xfId="1692" xr:uid="{00000000-0005-0000-0000-0000B8100000}"/>
    <cellStyle name="Normal 4 2 2 7" xfId="1693" xr:uid="{00000000-0005-0000-0000-0000B9100000}"/>
    <cellStyle name="Normal 4 2 2 8" xfId="1694" xr:uid="{00000000-0005-0000-0000-0000BA100000}"/>
    <cellStyle name="Normal 4 2 3" xfId="1695" xr:uid="{00000000-0005-0000-0000-0000BB100000}"/>
    <cellStyle name="Normal 4 2 3 2" xfId="1696" xr:uid="{00000000-0005-0000-0000-0000BC100000}"/>
    <cellStyle name="Normal 4 2 3 2 2" xfId="1697" xr:uid="{00000000-0005-0000-0000-0000BD100000}"/>
    <cellStyle name="Normal 4 2 3 2 3" xfId="1698" xr:uid="{00000000-0005-0000-0000-0000BE100000}"/>
    <cellStyle name="Normal 4 2 3 2 4" xfId="1699" xr:uid="{00000000-0005-0000-0000-0000BF100000}"/>
    <cellStyle name="Normal 4 2 3 2 5" xfId="1700" xr:uid="{00000000-0005-0000-0000-0000C0100000}"/>
    <cellStyle name="Normal 4 2 3 2 6" xfId="1701" xr:uid="{00000000-0005-0000-0000-0000C1100000}"/>
    <cellStyle name="Normal 4 2 3 2 7" xfId="1702" xr:uid="{00000000-0005-0000-0000-0000C2100000}"/>
    <cellStyle name="Normal 4 2 3 3" xfId="1703" xr:uid="{00000000-0005-0000-0000-0000C3100000}"/>
    <cellStyle name="Normal 4 2 3 4" xfId="1704" xr:uid="{00000000-0005-0000-0000-0000C4100000}"/>
    <cellStyle name="Normal 4 2 3 5" xfId="1705" xr:uid="{00000000-0005-0000-0000-0000C5100000}"/>
    <cellStyle name="Normal 4 2 3 6" xfId="1706" xr:uid="{00000000-0005-0000-0000-0000C6100000}"/>
    <cellStyle name="Normal 4 2 3 7" xfId="1707" xr:uid="{00000000-0005-0000-0000-0000C7100000}"/>
    <cellStyle name="Normal 4 2 3 8" xfId="1708" xr:uid="{00000000-0005-0000-0000-0000C8100000}"/>
    <cellStyle name="Normal 4 2 4" xfId="1709" xr:uid="{00000000-0005-0000-0000-0000C9100000}"/>
    <cellStyle name="Normal 4 2 4 2" xfId="1710" xr:uid="{00000000-0005-0000-0000-0000CA100000}"/>
    <cellStyle name="Normal 4 2 4 2 2" xfId="1711" xr:uid="{00000000-0005-0000-0000-0000CB100000}"/>
    <cellStyle name="Normal 4 2 4 2 3" xfId="1712" xr:uid="{00000000-0005-0000-0000-0000CC100000}"/>
    <cellStyle name="Normal 4 2 4 2 4" xfId="1713" xr:uid="{00000000-0005-0000-0000-0000CD100000}"/>
    <cellStyle name="Normal 4 2 4 2 5" xfId="1714" xr:uid="{00000000-0005-0000-0000-0000CE100000}"/>
    <cellStyle name="Normal 4 2 4 2 6" xfId="1715" xr:uid="{00000000-0005-0000-0000-0000CF100000}"/>
    <cellStyle name="Normal 4 2 4 2 7" xfId="1716" xr:uid="{00000000-0005-0000-0000-0000D0100000}"/>
    <cellStyle name="Normal 4 2 4 3" xfId="1717" xr:uid="{00000000-0005-0000-0000-0000D1100000}"/>
    <cellStyle name="Normal 4 2 4 4" xfId="1718" xr:uid="{00000000-0005-0000-0000-0000D2100000}"/>
    <cellStyle name="Normal 4 2 4 5" xfId="1719" xr:uid="{00000000-0005-0000-0000-0000D3100000}"/>
    <cellStyle name="Normal 4 2 4 6" xfId="1720" xr:uid="{00000000-0005-0000-0000-0000D4100000}"/>
    <cellStyle name="Normal 4 2 4 7" xfId="1721" xr:uid="{00000000-0005-0000-0000-0000D5100000}"/>
    <cellStyle name="Normal 4 2 4 8" xfId="1722" xr:uid="{00000000-0005-0000-0000-0000D6100000}"/>
    <cellStyle name="Normal 4 2 5" xfId="1723" xr:uid="{00000000-0005-0000-0000-0000D7100000}"/>
    <cellStyle name="Normal 4 2 5 2" xfId="1724" xr:uid="{00000000-0005-0000-0000-0000D8100000}"/>
    <cellStyle name="Normal 4 2 5 2 2" xfId="1725" xr:uid="{00000000-0005-0000-0000-0000D9100000}"/>
    <cellStyle name="Normal 4 2 5 2 3" xfId="1726" xr:uid="{00000000-0005-0000-0000-0000DA100000}"/>
    <cellStyle name="Normal 4 2 5 2 4" xfId="1727" xr:uid="{00000000-0005-0000-0000-0000DB100000}"/>
    <cellStyle name="Normal 4 2 5 2 5" xfId="1728" xr:uid="{00000000-0005-0000-0000-0000DC100000}"/>
    <cellStyle name="Normal 4 2 5 2 6" xfId="1729" xr:uid="{00000000-0005-0000-0000-0000DD100000}"/>
    <cellStyle name="Normal 4 2 5 2 7" xfId="1730" xr:uid="{00000000-0005-0000-0000-0000DE100000}"/>
    <cellStyle name="Normal 4 2 5 3" xfId="1731" xr:uid="{00000000-0005-0000-0000-0000DF100000}"/>
    <cellStyle name="Normal 4 2 5 4" xfId="1732" xr:uid="{00000000-0005-0000-0000-0000E0100000}"/>
    <cellStyle name="Normal 4 2 5 5" xfId="1733" xr:uid="{00000000-0005-0000-0000-0000E1100000}"/>
    <cellStyle name="Normal 4 2 5 6" xfId="1734" xr:uid="{00000000-0005-0000-0000-0000E2100000}"/>
    <cellStyle name="Normal 4 2 5 7" xfId="1735" xr:uid="{00000000-0005-0000-0000-0000E3100000}"/>
    <cellStyle name="Normal 4 2 5 8" xfId="1736" xr:uid="{00000000-0005-0000-0000-0000E4100000}"/>
    <cellStyle name="Normal 4 2 6" xfId="1737" xr:uid="{00000000-0005-0000-0000-0000E5100000}"/>
    <cellStyle name="Normal 4 2 6 2" xfId="1738" xr:uid="{00000000-0005-0000-0000-0000E6100000}"/>
    <cellStyle name="Normal 4 2 6 2 2" xfId="1739" xr:uid="{00000000-0005-0000-0000-0000E7100000}"/>
    <cellStyle name="Normal 4 2 6 2 3" xfId="1740" xr:uid="{00000000-0005-0000-0000-0000E8100000}"/>
    <cellStyle name="Normal 4 2 6 2 4" xfId="1741" xr:uid="{00000000-0005-0000-0000-0000E9100000}"/>
    <cellStyle name="Normal 4 2 6 2 5" xfId="1742" xr:uid="{00000000-0005-0000-0000-0000EA100000}"/>
    <cellStyle name="Normal 4 2 6 2 6" xfId="1743" xr:uid="{00000000-0005-0000-0000-0000EB100000}"/>
    <cellStyle name="Normal 4 2 6 2 7" xfId="1744" xr:uid="{00000000-0005-0000-0000-0000EC100000}"/>
    <cellStyle name="Normal 4 2 6 3" xfId="1745" xr:uid="{00000000-0005-0000-0000-0000ED100000}"/>
    <cellStyle name="Normal 4 2 6 4" xfId="1746" xr:uid="{00000000-0005-0000-0000-0000EE100000}"/>
    <cellStyle name="Normal 4 2 6 5" xfId="1747" xr:uid="{00000000-0005-0000-0000-0000EF100000}"/>
    <cellStyle name="Normal 4 2 6 6" xfId="1748" xr:uid="{00000000-0005-0000-0000-0000F0100000}"/>
    <cellStyle name="Normal 4 2 6 7" xfId="1749" xr:uid="{00000000-0005-0000-0000-0000F1100000}"/>
    <cellStyle name="Normal 4 2 6 8" xfId="1750" xr:uid="{00000000-0005-0000-0000-0000F2100000}"/>
    <cellStyle name="Normal 4 2 7" xfId="1751" xr:uid="{00000000-0005-0000-0000-0000F3100000}"/>
    <cellStyle name="Normal 4 2 7 2" xfId="1752" xr:uid="{00000000-0005-0000-0000-0000F4100000}"/>
    <cellStyle name="Normal 4 2 7 2 2" xfId="1753" xr:uid="{00000000-0005-0000-0000-0000F5100000}"/>
    <cellStyle name="Normal 4 2 7 2 3" xfId="1754" xr:uid="{00000000-0005-0000-0000-0000F6100000}"/>
    <cellStyle name="Normal 4 2 7 2 4" xfId="1755" xr:uid="{00000000-0005-0000-0000-0000F7100000}"/>
    <cellStyle name="Normal 4 2 7 2 5" xfId="1756" xr:uid="{00000000-0005-0000-0000-0000F8100000}"/>
    <cellStyle name="Normal 4 2 7 2 6" xfId="1757" xr:uid="{00000000-0005-0000-0000-0000F9100000}"/>
    <cellStyle name="Normal 4 2 7 2 7" xfId="1758" xr:uid="{00000000-0005-0000-0000-0000FA100000}"/>
    <cellStyle name="Normal 4 2 7 3" xfId="1759" xr:uid="{00000000-0005-0000-0000-0000FB100000}"/>
    <cellStyle name="Normal 4 2 7 4" xfId="1760" xr:uid="{00000000-0005-0000-0000-0000FC100000}"/>
    <cellStyle name="Normal 4 2 7 5" xfId="1761" xr:uid="{00000000-0005-0000-0000-0000FD100000}"/>
    <cellStyle name="Normal 4 2 7 6" xfId="1762" xr:uid="{00000000-0005-0000-0000-0000FE100000}"/>
    <cellStyle name="Normal 4 2 7 7" xfId="1763" xr:uid="{00000000-0005-0000-0000-0000FF100000}"/>
    <cellStyle name="Normal 4 2 7 8" xfId="1764" xr:uid="{00000000-0005-0000-0000-000000110000}"/>
    <cellStyle name="Normal 4 2 8" xfId="1765" xr:uid="{00000000-0005-0000-0000-000001110000}"/>
    <cellStyle name="Normal 4 2 9" xfId="1766" xr:uid="{00000000-0005-0000-0000-000002110000}"/>
    <cellStyle name="Normal 4 3" xfId="1767" xr:uid="{00000000-0005-0000-0000-000003110000}"/>
    <cellStyle name="Normal 4 3 2" xfId="1768" xr:uid="{00000000-0005-0000-0000-000004110000}"/>
    <cellStyle name="Normal 4 3 3" xfId="1769" xr:uid="{00000000-0005-0000-0000-000005110000}"/>
    <cellStyle name="Normal 4 3 3 2" xfId="1770" xr:uid="{00000000-0005-0000-0000-000006110000}"/>
    <cellStyle name="Normal 4 3 3 3" xfId="1771" xr:uid="{00000000-0005-0000-0000-000007110000}"/>
    <cellStyle name="Normal 4 3 3 4" xfId="1772" xr:uid="{00000000-0005-0000-0000-000008110000}"/>
    <cellStyle name="Normal 4 3 3 5" xfId="1773" xr:uid="{00000000-0005-0000-0000-000009110000}"/>
    <cellStyle name="Normal 4 3 3 6" xfId="1774" xr:uid="{00000000-0005-0000-0000-00000A110000}"/>
    <cellStyle name="Normal 4 3 3 7" xfId="1775" xr:uid="{00000000-0005-0000-0000-00000B110000}"/>
    <cellStyle name="Normal 4 3 4" xfId="1776" xr:uid="{00000000-0005-0000-0000-00000C110000}"/>
    <cellStyle name="Normal 4 3 5" xfId="1777" xr:uid="{00000000-0005-0000-0000-00000D110000}"/>
    <cellStyle name="Normal 4 3 6" xfId="1778" xr:uid="{00000000-0005-0000-0000-00000E110000}"/>
    <cellStyle name="Normal 4 3 7" xfId="1779" xr:uid="{00000000-0005-0000-0000-00000F110000}"/>
    <cellStyle name="Normal 4 3 8" xfId="1780" xr:uid="{00000000-0005-0000-0000-000010110000}"/>
    <cellStyle name="Normal 4 3 9" xfId="1781" xr:uid="{00000000-0005-0000-0000-000011110000}"/>
    <cellStyle name="Normal 4 4" xfId="1782" xr:uid="{00000000-0005-0000-0000-000012110000}"/>
    <cellStyle name="Normal 4 4 2" xfId="1783" xr:uid="{00000000-0005-0000-0000-000013110000}"/>
    <cellStyle name="Normal 4 5" xfId="1784" xr:uid="{00000000-0005-0000-0000-000014110000}"/>
    <cellStyle name="Normal 4 5 2" xfId="1785" xr:uid="{00000000-0005-0000-0000-000015110000}"/>
    <cellStyle name="Normal 4 6" xfId="1786" xr:uid="{00000000-0005-0000-0000-000016110000}"/>
    <cellStyle name="Normal 4 6 2" xfId="1787" xr:uid="{00000000-0005-0000-0000-000017110000}"/>
    <cellStyle name="Normal 4 7" xfId="1788" xr:uid="{00000000-0005-0000-0000-000018110000}"/>
    <cellStyle name="Normal 4 7 2" xfId="1789" xr:uid="{00000000-0005-0000-0000-000019110000}"/>
    <cellStyle name="Normal 4 8" xfId="1790" xr:uid="{00000000-0005-0000-0000-00001A110000}"/>
    <cellStyle name="Normal 4 9" xfId="1791" xr:uid="{00000000-0005-0000-0000-00001B110000}"/>
    <cellStyle name="Normal 5" xfId="1792" xr:uid="{00000000-0005-0000-0000-00001C110000}"/>
    <cellStyle name="Normal 5 10" xfId="1793" xr:uid="{00000000-0005-0000-0000-00001D110000}"/>
    <cellStyle name="Normal 5 10 2" xfId="1794" xr:uid="{00000000-0005-0000-0000-00001E110000}"/>
    <cellStyle name="Normal 5 10 2 2" xfId="1795" xr:uid="{00000000-0005-0000-0000-00001F110000}"/>
    <cellStyle name="Normal 5 10 2 3" xfId="1796" xr:uid="{00000000-0005-0000-0000-000020110000}"/>
    <cellStyle name="Normal 5 10 2 4" xfId="1797" xr:uid="{00000000-0005-0000-0000-000021110000}"/>
    <cellStyle name="Normal 5 10 2 5" xfId="1798" xr:uid="{00000000-0005-0000-0000-000022110000}"/>
    <cellStyle name="Normal 5 10 2 6" xfId="1799" xr:uid="{00000000-0005-0000-0000-000023110000}"/>
    <cellStyle name="Normal 5 10 2 7" xfId="1800" xr:uid="{00000000-0005-0000-0000-000024110000}"/>
    <cellStyle name="Normal 5 10 3" xfId="1801" xr:uid="{00000000-0005-0000-0000-000025110000}"/>
    <cellStyle name="Normal 5 10 4" xfId="1802" xr:uid="{00000000-0005-0000-0000-000026110000}"/>
    <cellStyle name="Normal 5 10 5" xfId="1803" xr:uid="{00000000-0005-0000-0000-000027110000}"/>
    <cellStyle name="Normal 5 10 6" xfId="1804" xr:uid="{00000000-0005-0000-0000-000028110000}"/>
    <cellStyle name="Normal 5 10 7" xfId="1805" xr:uid="{00000000-0005-0000-0000-000029110000}"/>
    <cellStyle name="Normal 5 10 8" xfId="1806" xr:uid="{00000000-0005-0000-0000-00002A110000}"/>
    <cellStyle name="Normal 5 11" xfId="1807" xr:uid="{00000000-0005-0000-0000-00002B110000}"/>
    <cellStyle name="Normal 5 11 2" xfId="1808" xr:uid="{00000000-0005-0000-0000-00002C110000}"/>
    <cellStyle name="Normal 5 11 2 2" xfId="1809" xr:uid="{00000000-0005-0000-0000-00002D110000}"/>
    <cellStyle name="Normal 5 11 2 3" xfId="1810" xr:uid="{00000000-0005-0000-0000-00002E110000}"/>
    <cellStyle name="Normal 5 11 2 4" xfId="1811" xr:uid="{00000000-0005-0000-0000-00002F110000}"/>
    <cellStyle name="Normal 5 11 2 5" xfId="1812" xr:uid="{00000000-0005-0000-0000-000030110000}"/>
    <cellStyle name="Normal 5 11 2 6" xfId="1813" xr:uid="{00000000-0005-0000-0000-000031110000}"/>
    <cellStyle name="Normal 5 11 2 7" xfId="1814" xr:uid="{00000000-0005-0000-0000-000032110000}"/>
    <cellStyle name="Normal 5 11 3" xfId="1815" xr:uid="{00000000-0005-0000-0000-000033110000}"/>
    <cellStyle name="Normal 5 11 4" xfId="1816" xr:uid="{00000000-0005-0000-0000-000034110000}"/>
    <cellStyle name="Normal 5 11 5" xfId="1817" xr:uid="{00000000-0005-0000-0000-000035110000}"/>
    <cellStyle name="Normal 5 11 6" xfId="1818" xr:uid="{00000000-0005-0000-0000-000036110000}"/>
    <cellStyle name="Normal 5 11 7" xfId="1819" xr:uid="{00000000-0005-0000-0000-000037110000}"/>
    <cellStyle name="Normal 5 11 8" xfId="1820" xr:uid="{00000000-0005-0000-0000-000038110000}"/>
    <cellStyle name="Normal 5 12" xfId="1821" xr:uid="{00000000-0005-0000-0000-000039110000}"/>
    <cellStyle name="Normal 5 12 2" xfId="1822" xr:uid="{00000000-0005-0000-0000-00003A110000}"/>
    <cellStyle name="Normal 5 12 2 2" xfId="1823" xr:uid="{00000000-0005-0000-0000-00003B110000}"/>
    <cellStyle name="Normal 5 12 2 3" xfId="1824" xr:uid="{00000000-0005-0000-0000-00003C110000}"/>
    <cellStyle name="Normal 5 12 2 4" xfId="1825" xr:uid="{00000000-0005-0000-0000-00003D110000}"/>
    <cellStyle name="Normal 5 12 2 5" xfId="1826" xr:uid="{00000000-0005-0000-0000-00003E110000}"/>
    <cellStyle name="Normal 5 12 2 6" xfId="1827" xr:uid="{00000000-0005-0000-0000-00003F110000}"/>
    <cellStyle name="Normal 5 12 2 7" xfId="1828" xr:uid="{00000000-0005-0000-0000-000040110000}"/>
    <cellStyle name="Normal 5 12 3" xfId="1829" xr:uid="{00000000-0005-0000-0000-000041110000}"/>
    <cellStyle name="Normal 5 12 4" xfId="1830" xr:uid="{00000000-0005-0000-0000-000042110000}"/>
    <cellStyle name="Normal 5 12 5" xfId="1831" xr:uid="{00000000-0005-0000-0000-000043110000}"/>
    <cellStyle name="Normal 5 12 6" xfId="1832" xr:uid="{00000000-0005-0000-0000-000044110000}"/>
    <cellStyle name="Normal 5 12 7" xfId="1833" xr:uid="{00000000-0005-0000-0000-000045110000}"/>
    <cellStyle name="Normal 5 12 8" xfId="1834" xr:uid="{00000000-0005-0000-0000-000046110000}"/>
    <cellStyle name="Normal 5 13" xfId="1835" xr:uid="{00000000-0005-0000-0000-000047110000}"/>
    <cellStyle name="Normal 5 13 2" xfId="1836" xr:uid="{00000000-0005-0000-0000-000048110000}"/>
    <cellStyle name="Normal 5 13 2 2" xfId="1837" xr:uid="{00000000-0005-0000-0000-000049110000}"/>
    <cellStyle name="Normal 5 13 2 3" xfId="1838" xr:uid="{00000000-0005-0000-0000-00004A110000}"/>
    <cellStyle name="Normal 5 13 2 4" xfId="1839" xr:uid="{00000000-0005-0000-0000-00004B110000}"/>
    <cellStyle name="Normal 5 13 2 5" xfId="1840" xr:uid="{00000000-0005-0000-0000-00004C110000}"/>
    <cellStyle name="Normal 5 13 2 6" xfId="1841" xr:uid="{00000000-0005-0000-0000-00004D110000}"/>
    <cellStyle name="Normal 5 13 2 7" xfId="1842" xr:uid="{00000000-0005-0000-0000-00004E110000}"/>
    <cellStyle name="Normal 5 13 3" xfId="1843" xr:uid="{00000000-0005-0000-0000-00004F110000}"/>
    <cellStyle name="Normal 5 13 4" xfId="1844" xr:uid="{00000000-0005-0000-0000-000050110000}"/>
    <cellStyle name="Normal 5 13 5" xfId="1845" xr:uid="{00000000-0005-0000-0000-000051110000}"/>
    <cellStyle name="Normal 5 13 6" xfId="1846" xr:uid="{00000000-0005-0000-0000-000052110000}"/>
    <cellStyle name="Normal 5 13 7" xfId="1847" xr:uid="{00000000-0005-0000-0000-000053110000}"/>
    <cellStyle name="Normal 5 13 8" xfId="1848" xr:uid="{00000000-0005-0000-0000-000054110000}"/>
    <cellStyle name="Normal 5 14" xfId="1849" xr:uid="{00000000-0005-0000-0000-000055110000}"/>
    <cellStyle name="Normal 5 15" xfId="1850" xr:uid="{00000000-0005-0000-0000-000056110000}"/>
    <cellStyle name="Normal 5 16" xfId="1851" xr:uid="{00000000-0005-0000-0000-000057110000}"/>
    <cellStyle name="Normal 5 17" xfId="7638" xr:uid="{00000000-0005-0000-0000-000058110000}"/>
    <cellStyle name="Normal 5 18" xfId="7639" xr:uid="{00000000-0005-0000-0000-000059110000}"/>
    <cellStyle name="Normal 5 2" xfId="1852" xr:uid="{00000000-0005-0000-0000-00005A110000}"/>
    <cellStyle name="Normal 5 2 2" xfId="1853" xr:uid="{00000000-0005-0000-0000-00005B110000}"/>
    <cellStyle name="Normal 5 2 3" xfId="1854" xr:uid="{00000000-0005-0000-0000-00005C110000}"/>
    <cellStyle name="Normal 5 2 3 2" xfId="1855" xr:uid="{00000000-0005-0000-0000-00005D110000}"/>
    <cellStyle name="Normal 5 2 3 3" xfId="1856" xr:uid="{00000000-0005-0000-0000-00005E110000}"/>
    <cellStyle name="Normal 5 2 3 4" xfId="1857" xr:uid="{00000000-0005-0000-0000-00005F110000}"/>
    <cellStyle name="Normal 5 2 3 5" xfId="1858" xr:uid="{00000000-0005-0000-0000-000060110000}"/>
    <cellStyle name="Normal 5 2 3 6" xfId="1859" xr:uid="{00000000-0005-0000-0000-000061110000}"/>
    <cellStyle name="Normal 5 2 3 7" xfId="1860" xr:uid="{00000000-0005-0000-0000-000062110000}"/>
    <cellStyle name="Normal 5 2 4" xfId="1861" xr:uid="{00000000-0005-0000-0000-000063110000}"/>
    <cellStyle name="Normal 5 2 5" xfId="1862" xr:uid="{00000000-0005-0000-0000-000064110000}"/>
    <cellStyle name="Normal 5 2 6" xfId="1863" xr:uid="{00000000-0005-0000-0000-000065110000}"/>
    <cellStyle name="Normal 5 2 7" xfId="1864" xr:uid="{00000000-0005-0000-0000-000066110000}"/>
    <cellStyle name="Normal 5 2 8" xfId="1865" xr:uid="{00000000-0005-0000-0000-000067110000}"/>
    <cellStyle name="Normal 5 2 9" xfId="1866" xr:uid="{00000000-0005-0000-0000-000068110000}"/>
    <cellStyle name="Normal 5 3" xfId="1867" xr:uid="{00000000-0005-0000-0000-000069110000}"/>
    <cellStyle name="Normal 5 3 2" xfId="1868" xr:uid="{00000000-0005-0000-0000-00006A110000}"/>
    <cellStyle name="Normal 5 3 2 2" xfId="1869" xr:uid="{00000000-0005-0000-0000-00006B110000}"/>
    <cellStyle name="Normal 5 4" xfId="1870" xr:uid="{00000000-0005-0000-0000-00006C110000}"/>
    <cellStyle name="Normal 5 4 2" xfId="1871" xr:uid="{00000000-0005-0000-0000-00006D110000}"/>
    <cellStyle name="Normal 5 5" xfId="1872" xr:uid="{00000000-0005-0000-0000-00006E110000}"/>
    <cellStyle name="Normal 5 6" xfId="1873" xr:uid="{00000000-0005-0000-0000-00006F110000}"/>
    <cellStyle name="Normal 5 6 2" xfId="7640" xr:uid="{00000000-0005-0000-0000-000070110000}"/>
    <cellStyle name="Normal 5 7" xfId="1874" xr:uid="{00000000-0005-0000-0000-000071110000}"/>
    <cellStyle name="Normal 5 7 2" xfId="7641" xr:uid="{00000000-0005-0000-0000-000072110000}"/>
    <cellStyle name="Normal 5 8" xfId="1875" xr:uid="{00000000-0005-0000-0000-000073110000}"/>
    <cellStyle name="Normal 5 8 2" xfId="7642" xr:uid="{00000000-0005-0000-0000-000074110000}"/>
    <cellStyle name="Normal 5 9" xfId="1876" xr:uid="{00000000-0005-0000-0000-000075110000}"/>
    <cellStyle name="Normal 5 9 2" xfId="1877" xr:uid="{00000000-0005-0000-0000-000076110000}"/>
    <cellStyle name="Normal 5 9 2 2" xfId="1878" xr:uid="{00000000-0005-0000-0000-000077110000}"/>
    <cellStyle name="Normal 5 9 2 3" xfId="1879" xr:uid="{00000000-0005-0000-0000-000078110000}"/>
    <cellStyle name="Normal 5 9 2 4" xfId="1880" xr:uid="{00000000-0005-0000-0000-000079110000}"/>
    <cellStyle name="Normal 5 9 2 5" xfId="1881" xr:uid="{00000000-0005-0000-0000-00007A110000}"/>
    <cellStyle name="Normal 5 9 2 6" xfId="1882" xr:uid="{00000000-0005-0000-0000-00007B110000}"/>
    <cellStyle name="Normal 5 9 2 7" xfId="1883" xr:uid="{00000000-0005-0000-0000-00007C110000}"/>
    <cellStyle name="Normal 5 9 3" xfId="1884" xr:uid="{00000000-0005-0000-0000-00007D110000}"/>
    <cellStyle name="Normal 5 9 4" xfId="1885" xr:uid="{00000000-0005-0000-0000-00007E110000}"/>
    <cellStyle name="Normal 5 9 5" xfId="1886" xr:uid="{00000000-0005-0000-0000-00007F110000}"/>
    <cellStyle name="Normal 5 9 6" xfId="1887" xr:uid="{00000000-0005-0000-0000-000080110000}"/>
    <cellStyle name="Normal 5 9 7" xfId="1888" xr:uid="{00000000-0005-0000-0000-000081110000}"/>
    <cellStyle name="Normal 5 9 8" xfId="1889" xr:uid="{00000000-0005-0000-0000-000082110000}"/>
    <cellStyle name="Normal 5_Budget incorporated 2011-2012 last101011" xfId="1890" xr:uid="{00000000-0005-0000-0000-000083110000}"/>
    <cellStyle name="Normal 6" xfId="1891" xr:uid="{00000000-0005-0000-0000-000084110000}"/>
    <cellStyle name="Normal 6 10" xfId="7643" xr:uid="{00000000-0005-0000-0000-000085110000}"/>
    <cellStyle name="Normal 6 11" xfId="7644" xr:uid="{00000000-0005-0000-0000-000086110000}"/>
    <cellStyle name="Normal 6 12" xfId="7645" xr:uid="{00000000-0005-0000-0000-000087110000}"/>
    <cellStyle name="Normal 6 13" xfId="7646" xr:uid="{00000000-0005-0000-0000-000088110000}"/>
    <cellStyle name="Normal 6 14" xfId="7647" xr:uid="{00000000-0005-0000-0000-000089110000}"/>
    <cellStyle name="Normal 6 15" xfId="7648" xr:uid="{00000000-0005-0000-0000-00008A110000}"/>
    <cellStyle name="Normal 6 16" xfId="7649" xr:uid="{00000000-0005-0000-0000-00008B110000}"/>
    <cellStyle name="Normal 6 17" xfId="7650" xr:uid="{00000000-0005-0000-0000-00008C110000}"/>
    <cellStyle name="Normal 6 2" xfId="1892" xr:uid="{00000000-0005-0000-0000-00008D110000}"/>
    <cellStyle name="Normal 6 2 10" xfId="1893" xr:uid="{00000000-0005-0000-0000-00008E110000}"/>
    <cellStyle name="Normal 6 2 2" xfId="1894" xr:uid="{00000000-0005-0000-0000-00008F110000}"/>
    <cellStyle name="Normal 6 2 2 2" xfId="1895" xr:uid="{00000000-0005-0000-0000-000090110000}"/>
    <cellStyle name="Normal 6 2 2 3" xfId="7651" xr:uid="{00000000-0005-0000-0000-000091110000}"/>
    <cellStyle name="Normal 6 2 2 4" xfId="7652" xr:uid="{00000000-0005-0000-0000-000092110000}"/>
    <cellStyle name="Normal 6 2 2 5" xfId="7653" xr:uid="{00000000-0005-0000-0000-000093110000}"/>
    <cellStyle name="Normal 6 2 2 6" xfId="7654" xr:uid="{00000000-0005-0000-0000-000094110000}"/>
    <cellStyle name="Normal 6 2 2 7" xfId="7655" xr:uid="{00000000-0005-0000-0000-000095110000}"/>
    <cellStyle name="Normal 6 2 2 8" xfId="7656" xr:uid="{00000000-0005-0000-0000-000096110000}"/>
    <cellStyle name="Normal 6 2 2 9" xfId="7657" xr:uid="{00000000-0005-0000-0000-000097110000}"/>
    <cellStyle name="Normal 6 2 3" xfId="1896" xr:uid="{00000000-0005-0000-0000-000098110000}"/>
    <cellStyle name="Normal 6 2 3 10" xfId="7658" xr:uid="{00000000-0005-0000-0000-000099110000}"/>
    <cellStyle name="Normal 6 2 3 2" xfId="1897" xr:uid="{00000000-0005-0000-0000-00009A110000}"/>
    <cellStyle name="Normal 6 2 3 2 2" xfId="1898" xr:uid="{00000000-0005-0000-0000-00009B110000}"/>
    <cellStyle name="Normal 6 2 3 2 2 2" xfId="1899" xr:uid="{00000000-0005-0000-0000-00009C110000}"/>
    <cellStyle name="Normal 6 2 3 2 3" xfId="1900" xr:uid="{00000000-0005-0000-0000-00009D110000}"/>
    <cellStyle name="Normal 6 2 3 2 4" xfId="7659" xr:uid="{00000000-0005-0000-0000-00009E110000}"/>
    <cellStyle name="Normal 6 2 3 2 5" xfId="7660" xr:uid="{00000000-0005-0000-0000-00009F110000}"/>
    <cellStyle name="Normal 6 2 3 2 6" xfId="7661" xr:uid="{00000000-0005-0000-0000-0000A0110000}"/>
    <cellStyle name="Normal 6 2 3 2 7" xfId="7662" xr:uid="{00000000-0005-0000-0000-0000A1110000}"/>
    <cellStyle name="Normal 6 2 3 2 8" xfId="7663" xr:uid="{00000000-0005-0000-0000-0000A2110000}"/>
    <cellStyle name="Normal 6 2 3 2 9" xfId="7664" xr:uid="{00000000-0005-0000-0000-0000A3110000}"/>
    <cellStyle name="Normal 6 2 3 3" xfId="1901" xr:uid="{00000000-0005-0000-0000-0000A4110000}"/>
    <cellStyle name="Normal 6 2 3 4" xfId="7665" xr:uid="{00000000-0005-0000-0000-0000A5110000}"/>
    <cellStyle name="Normal 6 2 3 5" xfId="7666" xr:uid="{00000000-0005-0000-0000-0000A6110000}"/>
    <cellStyle name="Normal 6 2 3 6" xfId="7667" xr:uid="{00000000-0005-0000-0000-0000A7110000}"/>
    <cellStyle name="Normal 6 2 3 7" xfId="7668" xr:uid="{00000000-0005-0000-0000-0000A8110000}"/>
    <cellStyle name="Normal 6 2 3 8" xfId="7669" xr:uid="{00000000-0005-0000-0000-0000A9110000}"/>
    <cellStyle name="Normal 6 2 3 9" xfId="7670" xr:uid="{00000000-0005-0000-0000-0000AA110000}"/>
    <cellStyle name="Normal 6 2 3_Budget incorporated 2011-2012 last101011" xfId="1902" xr:uid="{00000000-0005-0000-0000-0000AB110000}"/>
    <cellStyle name="Normal 6 2 4" xfId="1903" xr:uid="{00000000-0005-0000-0000-0000AC110000}"/>
    <cellStyle name="Normal 6 2 4 2" xfId="1904" xr:uid="{00000000-0005-0000-0000-0000AD110000}"/>
    <cellStyle name="Normal 6 2 4 3" xfId="7671" xr:uid="{00000000-0005-0000-0000-0000AE110000}"/>
    <cellStyle name="Normal 6 2 5" xfId="1905" xr:uid="{00000000-0005-0000-0000-0000AF110000}"/>
    <cellStyle name="Normal 6 2 5 2" xfId="7672" xr:uid="{00000000-0005-0000-0000-0000B0110000}"/>
    <cellStyle name="Normal 6 2 6" xfId="1906" xr:uid="{00000000-0005-0000-0000-0000B1110000}"/>
    <cellStyle name="Normal 6 2 6 2" xfId="7673" xr:uid="{00000000-0005-0000-0000-0000B2110000}"/>
    <cellStyle name="Normal 6 2 7" xfId="1907" xr:uid="{00000000-0005-0000-0000-0000B3110000}"/>
    <cellStyle name="Normal 6 2 8" xfId="1908" xr:uid="{00000000-0005-0000-0000-0000B4110000}"/>
    <cellStyle name="Normal 6 2 9" xfId="1909" xr:uid="{00000000-0005-0000-0000-0000B5110000}"/>
    <cellStyle name="Normal 6 2_Budget incorporated 2011-2012 last101011" xfId="1910" xr:uid="{00000000-0005-0000-0000-0000B6110000}"/>
    <cellStyle name="Normal 6 3" xfId="1911" xr:uid="{00000000-0005-0000-0000-0000B7110000}"/>
    <cellStyle name="Normal 6 3 2" xfId="7674" xr:uid="{00000000-0005-0000-0000-0000B8110000}"/>
    <cellStyle name="Normal 6 4" xfId="1912" xr:uid="{00000000-0005-0000-0000-0000B9110000}"/>
    <cellStyle name="Normal 6 4 2" xfId="7675" xr:uid="{00000000-0005-0000-0000-0000BA110000}"/>
    <cellStyle name="Normal 6 5" xfId="7676" xr:uid="{00000000-0005-0000-0000-0000BB110000}"/>
    <cellStyle name="Normal 6 6" xfId="7677" xr:uid="{00000000-0005-0000-0000-0000BC110000}"/>
    <cellStyle name="Normal 6 7" xfId="7678" xr:uid="{00000000-0005-0000-0000-0000BD110000}"/>
    <cellStyle name="Normal 6 8" xfId="7679" xr:uid="{00000000-0005-0000-0000-0000BE110000}"/>
    <cellStyle name="Normal 6 9" xfId="7680" xr:uid="{00000000-0005-0000-0000-0000BF110000}"/>
    <cellStyle name="Normal 6_Budget incorporated 2011-2012 last101011" xfId="1913" xr:uid="{00000000-0005-0000-0000-0000C0110000}"/>
    <cellStyle name="Normal 7" xfId="1914" xr:uid="{00000000-0005-0000-0000-0000C1110000}"/>
    <cellStyle name="Normal 7 10" xfId="7681" xr:uid="{00000000-0005-0000-0000-0000C2110000}"/>
    <cellStyle name="Normal 7 11" xfId="7682" xr:uid="{00000000-0005-0000-0000-0000C3110000}"/>
    <cellStyle name="Normal 7 12" xfId="7683" xr:uid="{00000000-0005-0000-0000-0000C4110000}"/>
    <cellStyle name="Normal 7 13" xfId="7684" xr:uid="{00000000-0005-0000-0000-0000C5110000}"/>
    <cellStyle name="Normal 7 14" xfId="7685" xr:uid="{00000000-0005-0000-0000-0000C6110000}"/>
    <cellStyle name="Normal 7 15" xfId="7686" xr:uid="{00000000-0005-0000-0000-0000C7110000}"/>
    <cellStyle name="Normal 7 16" xfId="7687" xr:uid="{00000000-0005-0000-0000-0000C8110000}"/>
    <cellStyle name="Normal 7 2" xfId="1915" xr:uid="{00000000-0005-0000-0000-0000C9110000}"/>
    <cellStyle name="Normal 7 2 2" xfId="1916" xr:uid="{00000000-0005-0000-0000-0000CA110000}"/>
    <cellStyle name="Normal 7 2 3" xfId="7688" xr:uid="{00000000-0005-0000-0000-0000CB110000}"/>
    <cellStyle name="Normal 7 2 4" xfId="7689" xr:uid="{00000000-0005-0000-0000-0000CC110000}"/>
    <cellStyle name="Normal 7 2 5" xfId="7690" xr:uid="{00000000-0005-0000-0000-0000CD110000}"/>
    <cellStyle name="Normal 7 2 6" xfId="7691" xr:uid="{00000000-0005-0000-0000-0000CE110000}"/>
    <cellStyle name="Normal 7 2 7" xfId="7692" xr:uid="{00000000-0005-0000-0000-0000CF110000}"/>
    <cellStyle name="Normal 7 2 8" xfId="7693" xr:uid="{00000000-0005-0000-0000-0000D0110000}"/>
    <cellStyle name="Normal 7 2 9" xfId="7694" xr:uid="{00000000-0005-0000-0000-0000D1110000}"/>
    <cellStyle name="Normal 7 3" xfId="1917" xr:uid="{00000000-0005-0000-0000-0000D2110000}"/>
    <cellStyle name="Normal 7 4" xfId="1918" xr:uid="{00000000-0005-0000-0000-0000D3110000}"/>
    <cellStyle name="Normal 7 5" xfId="1919" xr:uid="{00000000-0005-0000-0000-0000D4110000}"/>
    <cellStyle name="Normal 7 6" xfId="1920" xr:uid="{00000000-0005-0000-0000-0000D5110000}"/>
    <cellStyle name="Normal 7 7" xfId="1921" xr:uid="{00000000-0005-0000-0000-0000D6110000}"/>
    <cellStyle name="Normal 7 8" xfId="1922" xr:uid="{00000000-0005-0000-0000-0000D7110000}"/>
    <cellStyle name="Normal 7 9" xfId="7695" xr:uid="{00000000-0005-0000-0000-0000D8110000}"/>
    <cellStyle name="Normal 7_Budget incorporated 2011-2012 last101011" xfId="1923" xr:uid="{00000000-0005-0000-0000-0000D9110000}"/>
    <cellStyle name="Normal 8" xfId="1924" xr:uid="{00000000-0005-0000-0000-0000DA110000}"/>
    <cellStyle name="Normal 8 10" xfId="7696" xr:uid="{00000000-0005-0000-0000-0000DB110000}"/>
    <cellStyle name="Normal 8 11" xfId="7697" xr:uid="{00000000-0005-0000-0000-0000DC110000}"/>
    <cellStyle name="Normal 8 12" xfId="7698" xr:uid="{00000000-0005-0000-0000-0000DD110000}"/>
    <cellStyle name="Normal 8 13" xfId="7699" xr:uid="{00000000-0005-0000-0000-0000DE110000}"/>
    <cellStyle name="Normal 8 14" xfId="7700" xr:uid="{00000000-0005-0000-0000-0000DF110000}"/>
    <cellStyle name="Normal 8 15" xfId="7701" xr:uid="{00000000-0005-0000-0000-0000E0110000}"/>
    <cellStyle name="Normal 8 2" xfId="1925" xr:uid="{00000000-0005-0000-0000-0000E1110000}"/>
    <cellStyle name="Normal 8 2 2" xfId="7702" xr:uid="{00000000-0005-0000-0000-0000E2110000}"/>
    <cellStyle name="Normal 8 3" xfId="1926" xr:uid="{00000000-0005-0000-0000-0000E3110000}"/>
    <cellStyle name="Normal 8 3 2" xfId="7703" xr:uid="{00000000-0005-0000-0000-0000E4110000}"/>
    <cellStyle name="Normal 8 4" xfId="1927" xr:uid="{00000000-0005-0000-0000-0000E5110000}"/>
    <cellStyle name="Normal 8 4 2" xfId="7704" xr:uid="{00000000-0005-0000-0000-0000E6110000}"/>
    <cellStyle name="Normal 8 5" xfId="1928" xr:uid="{00000000-0005-0000-0000-0000E7110000}"/>
    <cellStyle name="Normal 8 5 2" xfId="7705" xr:uid="{00000000-0005-0000-0000-0000E8110000}"/>
    <cellStyle name="Normal 8 6" xfId="1929" xr:uid="{00000000-0005-0000-0000-0000E9110000}"/>
    <cellStyle name="Normal 8 6 2" xfId="7706" xr:uid="{00000000-0005-0000-0000-0000EA110000}"/>
    <cellStyle name="Normal 8 7" xfId="7707" xr:uid="{00000000-0005-0000-0000-0000EB110000}"/>
    <cellStyle name="Normal 8 8" xfId="7708" xr:uid="{00000000-0005-0000-0000-0000EC110000}"/>
    <cellStyle name="Normal 8 9" xfId="7709" xr:uid="{00000000-0005-0000-0000-0000ED110000}"/>
    <cellStyle name="Normal 9" xfId="1930" xr:uid="{00000000-0005-0000-0000-0000EE110000}"/>
    <cellStyle name="Normal 9 10" xfId="7710" xr:uid="{00000000-0005-0000-0000-0000EF110000}"/>
    <cellStyle name="Normal 9 11" xfId="7711" xr:uid="{00000000-0005-0000-0000-0000F0110000}"/>
    <cellStyle name="Normal 9 12" xfId="7712" xr:uid="{00000000-0005-0000-0000-0000F1110000}"/>
    <cellStyle name="Normal 9 13" xfId="7713" xr:uid="{00000000-0005-0000-0000-0000F2110000}"/>
    <cellStyle name="Normal 9 14" xfId="7714" xr:uid="{00000000-0005-0000-0000-0000F3110000}"/>
    <cellStyle name="Normal 9 2" xfId="1931" xr:uid="{00000000-0005-0000-0000-0000F4110000}"/>
    <cellStyle name="Normal 9 2 2" xfId="1932" xr:uid="{00000000-0005-0000-0000-0000F5110000}"/>
    <cellStyle name="Normal 9 2 3" xfId="1933" xr:uid="{00000000-0005-0000-0000-0000F6110000}"/>
    <cellStyle name="Normal 9 2 4" xfId="1934" xr:uid="{00000000-0005-0000-0000-0000F7110000}"/>
    <cellStyle name="Normal 9 2 5" xfId="1935" xr:uid="{00000000-0005-0000-0000-0000F8110000}"/>
    <cellStyle name="Normal 9 2 6" xfId="1936" xr:uid="{00000000-0005-0000-0000-0000F9110000}"/>
    <cellStyle name="Normal 9 3" xfId="1937" xr:uid="{00000000-0005-0000-0000-0000FA110000}"/>
    <cellStyle name="Normal 9 4" xfId="1938" xr:uid="{00000000-0005-0000-0000-0000FB110000}"/>
    <cellStyle name="Normal 9 4 2" xfId="7715" xr:uid="{00000000-0005-0000-0000-0000FC110000}"/>
    <cellStyle name="Normal 9 5" xfId="1939" xr:uid="{00000000-0005-0000-0000-0000FD110000}"/>
    <cellStyle name="Normal 9 5 2" xfId="7716" xr:uid="{00000000-0005-0000-0000-0000FE110000}"/>
    <cellStyle name="Normal 9 6" xfId="1940" xr:uid="{00000000-0005-0000-0000-0000FF110000}"/>
    <cellStyle name="Normal 9 6 2" xfId="7717" xr:uid="{00000000-0005-0000-0000-000000120000}"/>
    <cellStyle name="Normal 9 7" xfId="1941" xr:uid="{00000000-0005-0000-0000-000001120000}"/>
    <cellStyle name="Normal 9 7 2" xfId="7718" xr:uid="{00000000-0005-0000-0000-000002120000}"/>
    <cellStyle name="Normal 9 8" xfId="7719" xr:uid="{00000000-0005-0000-0000-000003120000}"/>
    <cellStyle name="Normal 9 9" xfId="7720" xr:uid="{00000000-0005-0000-0000-000004120000}"/>
    <cellStyle name="Normal 9_Budget_R6_IV_Lot_2010_23_12_09" xfId="1942" xr:uid="{00000000-0005-0000-0000-000005120000}"/>
    <cellStyle name="Note" xfId="1943" xr:uid="{00000000-0005-0000-0000-000006120000}"/>
    <cellStyle name="Note 10" xfId="1944" xr:uid="{00000000-0005-0000-0000-000007120000}"/>
    <cellStyle name="Note 10 2" xfId="1945" xr:uid="{00000000-0005-0000-0000-000008120000}"/>
    <cellStyle name="Note 11" xfId="1946" xr:uid="{00000000-0005-0000-0000-000009120000}"/>
    <cellStyle name="Note 11 2" xfId="1947" xr:uid="{00000000-0005-0000-0000-00000A120000}"/>
    <cellStyle name="Note 11 2 2" xfId="1948" xr:uid="{00000000-0005-0000-0000-00000B120000}"/>
    <cellStyle name="Note 12" xfId="1949" xr:uid="{00000000-0005-0000-0000-00000C120000}"/>
    <cellStyle name="Note 2" xfId="1950" xr:uid="{00000000-0005-0000-0000-00000D120000}"/>
    <cellStyle name="Note 2 10" xfId="1951" xr:uid="{00000000-0005-0000-0000-00000E120000}"/>
    <cellStyle name="Note 2 10 2" xfId="7721" xr:uid="{00000000-0005-0000-0000-00000F120000}"/>
    <cellStyle name="Note 2 10 3" xfId="7722" xr:uid="{00000000-0005-0000-0000-000010120000}"/>
    <cellStyle name="Note 2 10 4" xfId="7723" xr:uid="{00000000-0005-0000-0000-000011120000}"/>
    <cellStyle name="Note 2 11" xfId="7724" xr:uid="{00000000-0005-0000-0000-000012120000}"/>
    <cellStyle name="Note 2 11 2" xfId="7725" xr:uid="{00000000-0005-0000-0000-000013120000}"/>
    <cellStyle name="Note 2 11 3" xfId="7726" xr:uid="{00000000-0005-0000-0000-000014120000}"/>
    <cellStyle name="Note 2 12" xfId="7727" xr:uid="{00000000-0005-0000-0000-000015120000}"/>
    <cellStyle name="Note 2 12 2" xfId="7728" xr:uid="{00000000-0005-0000-0000-000016120000}"/>
    <cellStyle name="Note 2 12 3" xfId="7729" xr:uid="{00000000-0005-0000-0000-000017120000}"/>
    <cellStyle name="Note 2 13" xfId="7730" xr:uid="{00000000-0005-0000-0000-000018120000}"/>
    <cellStyle name="Note 2 13 2" xfId="7731" xr:uid="{00000000-0005-0000-0000-000019120000}"/>
    <cellStyle name="Note 2 13 3" xfId="7732" xr:uid="{00000000-0005-0000-0000-00001A120000}"/>
    <cellStyle name="Note 2 14" xfId="7733" xr:uid="{00000000-0005-0000-0000-00001B120000}"/>
    <cellStyle name="Note 2 14 2" xfId="7734" xr:uid="{00000000-0005-0000-0000-00001C120000}"/>
    <cellStyle name="Note 2 14 3" xfId="7735" xr:uid="{00000000-0005-0000-0000-00001D120000}"/>
    <cellStyle name="Note 2 15" xfId="7736" xr:uid="{00000000-0005-0000-0000-00001E120000}"/>
    <cellStyle name="Note 2 15 2" xfId="7737" xr:uid="{00000000-0005-0000-0000-00001F120000}"/>
    <cellStyle name="Note 2 15 3" xfId="7738" xr:uid="{00000000-0005-0000-0000-000020120000}"/>
    <cellStyle name="Note 2 16" xfId="7739" xr:uid="{00000000-0005-0000-0000-000021120000}"/>
    <cellStyle name="Note 2 16 2" xfId="7740" xr:uid="{00000000-0005-0000-0000-000022120000}"/>
    <cellStyle name="Note 2 16 3" xfId="7741" xr:uid="{00000000-0005-0000-0000-000023120000}"/>
    <cellStyle name="Note 2 17" xfId="7742" xr:uid="{00000000-0005-0000-0000-000024120000}"/>
    <cellStyle name="Note 2 17 2" xfId="7743" xr:uid="{00000000-0005-0000-0000-000025120000}"/>
    <cellStyle name="Note 2 17 3" xfId="7744" xr:uid="{00000000-0005-0000-0000-000026120000}"/>
    <cellStyle name="Note 2 18" xfId="7745" xr:uid="{00000000-0005-0000-0000-000027120000}"/>
    <cellStyle name="Note 2 18 2" xfId="7746" xr:uid="{00000000-0005-0000-0000-000028120000}"/>
    <cellStyle name="Note 2 18 3" xfId="7747" xr:uid="{00000000-0005-0000-0000-000029120000}"/>
    <cellStyle name="Note 2 19" xfId="7748" xr:uid="{00000000-0005-0000-0000-00002A120000}"/>
    <cellStyle name="Note 2 2" xfId="1952" xr:uid="{00000000-0005-0000-0000-00002B120000}"/>
    <cellStyle name="Note 2 2 2" xfId="7749" xr:uid="{00000000-0005-0000-0000-00002C120000}"/>
    <cellStyle name="Note 2 2 3" xfId="7750" xr:uid="{00000000-0005-0000-0000-00002D120000}"/>
    <cellStyle name="Note 2 20" xfId="7751" xr:uid="{00000000-0005-0000-0000-00002E120000}"/>
    <cellStyle name="Note 2 21" xfId="7752" xr:uid="{00000000-0005-0000-0000-00002F120000}"/>
    <cellStyle name="Note 2 22" xfId="7753" xr:uid="{00000000-0005-0000-0000-000030120000}"/>
    <cellStyle name="Note 2 23" xfId="7754" xr:uid="{00000000-0005-0000-0000-000031120000}"/>
    <cellStyle name="Note 2 24" xfId="7755" xr:uid="{00000000-0005-0000-0000-000032120000}"/>
    <cellStyle name="Note 2 25" xfId="7756" xr:uid="{00000000-0005-0000-0000-000033120000}"/>
    <cellStyle name="Note 2 26" xfId="7757" xr:uid="{00000000-0005-0000-0000-000034120000}"/>
    <cellStyle name="Note 2 3" xfId="1953" xr:uid="{00000000-0005-0000-0000-000035120000}"/>
    <cellStyle name="Note 2 3 10" xfId="7758" xr:uid="{00000000-0005-0000-0000-000036120000}"/>
    <cellStyle name="Note 2 3 2" xfId="1954" xr:uid="{00000000-0005-0000-0000-000037120000}"/>
    <cellStyle name="Note 2 3 2 2" xfId="7759" xr:uid="{00000000-0005-0000-0000-000038120000}"/>
    <cellStyle name="Note 2 3 3" xfId="1955" xr:uid="{00000000-0005-0000-0000-000039120000}"/>
    <cellStyle name="Note 2 3 3 2" xfId="7760" xr:uid="{00000000-0005-0000-0000-00003A120000}"/>
    <cellStyle name="Note 2 3 4" xfId="1956" xr:uid="{00000000-0005-0000-0000-00003B120000}"/>
    <cellStyle name="Note 2 3 4 2" xfId="7761" xr:uid="{00000000-0005-0000-0000-00003C120000}"/>
    <cellStyle name="Note 2 3 5" xfId="1957" xr:uid="{00000000-0005-0000-0000-00003D120000}"/>
    <cellStyle name="Note 2 3 5 2" xfId="7762" xr:uid="{00000000-0005-0000-0000-00003E120000}"/>
    <cellStyle name="Note 2 3 6" xfId="1958" xr:uid="{00000000-0005-0000-0000-00003F120000}"/>
    <cellStyle name="Note 2 3 6 2" xfId="7763" xr:uid="{00000000-0005-0000-0000-000040120000}"/>
    <cellStyle name="Note 2 3 7" xfId="1959" xr:uid="{00000000-0005-0000-0000-000041120000}"/>
    <cellStyle name="Note 2 3 7 2" xfId="7764" xr:uid="{00000000-0005-0000-0000-000042120000}"/>
    <cellStyle name="Note 2 3 8" xfId="1960" xr:uid="{00000000-0005-0000-0000-000043120000}"/>
    <cellStyle name="Note 2 3 8 2" xfId="7765" xr:uid="{00000000-0005-0000-0000-000044120000}"/>
    <cellStyle name="Note 2 3 9" xfId="7766" xr:uid="{00000000-0005-0000-0000-000045120000}"/>
    <cellStyle name="Note 2 4" xfId="1961" xr:uid="{00000000-0005-0000-0000-000046120000}"/>
    <cellStyle name="Note 2 4 10" xfId="7767" xr:uid="{00000000-0005-0000-0000-000047120000}"/>
    <cellStyle name="Note 2 4 11" xfId="7768" xr:uid="{00000000-0005-0000-0000-000048120000}"/>
    <cellStyle name="Note 2 4 2" xfId="7769" xr:uid="{00000000-0005-0000-0000-000049120000}"/>
    <cellStyle name="Note 2 4 2 2" xfId="7770" xr:uid="{00000000-0005-0000-0000-00004A120000}"/>
    <cellStyle name="Note 2 4 3" xfId="7771" xr:uid="{00000000-0005-0000-0000-00004B120000}"/>
    <cellStyle name="Note 2 4 4" xfId="7772" xr:uid="{00000000-0005-0000-0000-00004C120000}"/>
    <cellStyle name="Note 2 4 5" xfId="7773" xr:uid="{00000000-0005-0000-0000-00004D120000}"/>
    <cellStyle name="Note 2 4 6" xfId="7774" xr:uid="{00000000-0005-0000-0000-00004E120000}"/>
    <cellStyle name="Note 2 4 7" xfId="7775" xr:uid="{00000000-0005-0000-0000-00004F120000}"/>
    <cellStyle name="Note 2 4 8" xfId="7776" xr:uid="{00000000-0005-0000-0000-000050120000}"/>
    <cellStyle name="Note 2 4 9" xfId="7777" xr:uid="{00000000-0005-0000-0000-000051120000}"/>
    <cellStyle name="Note 2 5" xfId="1962" xr:uid="{00000000-0005-0000-0000-000052120000}"/>
    <cellStyle name="Note 2 5 10" xfId="7778" xr:uid="{00000000-0005-0000-0000-000053120000}"/>
    <cellStyle name="Note 2 5 11" xfId="7779" xr:uid="{00000000-0005-0000-0000-000054120000}"/>
    <cellStyle name="Note 2 5 2" xfId="7780" xr:uid="{00000000-0005-0000-0000-000055120000}"/>
    <cellStyle name="Note 2 5 2 2" xfId="7781" xr:uid="{00000000-0005-0000-0000-000056120000}"/>
    <cellStyle name="Note 2 5 3" xfId="7782" xr:uid="{00000000-0005-0000-0000-000057120000}"/>
    <cellStyle name="Note 2 5 4" xfId="7783" xr:uid="{00000000-0005-0000-0000-000058120000}"/>
    <cellStyle name="Note 2 5 5" xfId="7784" xr:uid="{00000000-0005-0000-0000-000059120000}"/>
    <cellStyle name="Note 2 5 6" xfId="7785" xr:uid="{00000000-0005-0000-0000-00005A120000}"/>
    <cellStyle name="Note 2 5 7" xfId="7786" xr:uid="{00000000-0005-0000-0000-00005B120000}"/>
    <cellStyle name="Note 2 5 8" xfId="7787" xr:uid="{00000000-0005-0000-0000-00005C120000}"/>
    <cellStyle name="Note 2 5 9" xfId="7788" xr:uid="{00000000-0005-0000-0000-00005D120000}"/>
    <cellStyle name="Note 2 6" xfId="1963" xr:uid="{00000000-0005-0000-0000-00005E120000}"/>
    <cellStyle name="Note 2 6 2" xfId="7789" xr:uid="{00000000-0005-0000-0000-00005F120000}"/>
    <cellStyle name="Note 2 6 3" xfId="7790" xr:uid="{00000000-0005-0000-0000-000060120000}"/>
    <cellStyle name="Note 2 7" xfId="1964" xr:uid="{00000000-0005-0000-0000-000061120000}"/>
    <cellStyle name="Note 2 7 2" xfId="7791" xr:uid="{00000000-0005-0000-0000-000062120000}"/>
    <cellStyle name="Note 2 7 3" xfId="7792" xr:uid="{00000000-0005-0000-0000-000063120000}"/>
    <cellStyle name="Note 2 8" xfId="1965" xr:uid="{00000000-0005-0000-0000-000064120000}"/>
    <cellStyle name="Note 2 8 2" xfId="7793" xr:uid="{00000000-0005-0000-0000-000065120000}"/>
    <cellStyle name="Note 2 8 3" xfId="7794" xr:uid="{00000000-0005-0000-0000-000066120000}"/>
    <cellStyle name="Note 2 9" xfId="1966" xr:uid="{00000000-0005-0000-0000-000067120000}"/>
    <cellStyle name="Note 2 9 2" xfId="7795" xr:uid="{00000000-0005-0000-0000-000068120000}"/>
    <cellStyle name="Note 2 9 3" xfId="7796" xr:uid="{00000000-0005-0000-0000-000069120000}"/>
    <cellStyle name="Note 2_Blood_21months_EURO" xfId="1967" xr:uid="{00000000-0005-0000-0000-00006A120000}"/>
    <cellStyle name="Note 3" xfId="1968" xr:uid="{00000000-0005-0000-0000-00006B120000}"/>
    <cellStyle name="Note 3 2" xfId="1969" xr:uid="{00000000-0005-0000-0000-00006C120000}"/>
    <cellStyle name="Note 3 2 2" xfId="7797" xr:uid="{00000000-0005-0000-0000-00006D120000}"/>
    <cellStyle name="Note 3 2 3" xfId="7798" xr:uid="{00000000-0005-0000-0000-00006E120000}"/>
    <cellStyle name="Note 3 3" xfId="7799" xr:uid="{00000000-0005-0000-0000-00006F120000}"/>
    <cellStyle name="Note 3 4" xfId="7800" xr:uid="{00000000-0005-0000-0000-000070120000}"/>
    <cellStyle name="Note 3_GEO-H-GPIC 3 months budget_ALLdraft" xfId="1970" xr:uid="{00000000-0005-0000-0000-000071120000}"/>
    <cellStyle name="Note 4" xfId="1971" xr:uid="{00000000-0005-0000-0000-000072120000}"/>
    <cellStyle name="Note 4 2" xfId="1972" xr:uid="{00000000-0005-0000-0000-000073120000}"/>
    <cellStyle name="Note 4 2 2" xfId="7801" xr:uid="{00000000-0005-0000-0000-000074120000}"/>
    <cellStyle name="Note 4 2 3" xfId="7802" xr:uid="{00000000-0005-0000-0000-000075120000}"/>
    <cellStyle name="Note 4 3" xfId="7803" xr:uid="{00000000-0005-0000-0000-000076120000}"/>
    <cellStyle name="Note 4 4" xfId="7804" xr:uid="{00000000-0005-0000-0000-000077120000}"/>
    <cellStyle name="Note 4_GEO-H-GPIC 3 months budget_ALLdraft" xfId="1973" xr:uid="{00000000-0005-0000-0000-000078120000}"/>
    <cellStyle name="Note 5" xfId="1974" xr:uid="{00000000-0005-0000-0000-000079120000}"/>
    <cellStyle name="Note 5 2" xfId="1975" xr:uid="{00000000-0005-0000-0000-00007A120000}"/>
    <cellStyle name="Note 5 3" xfId="1976" xr:uid="{00000000-0005-0000-0000-00007B120000}"/>
    <cellStyle name="Note 5 4" xfId="1977" xr:uid="{00000000-0005-0000-0000-00007C120000}"/>
    <cellStyle name="Note 5 5" xfId="1978" xr:uid="{00000000-0005-0000-0000-00007D120000}"/>
    <cellStyle name="Note 5 6" xfId="1979" xr:uid="{00000000-0005-0000-0000-00007E120000}"/>
    <cellStyle name="Note 6" xfId="1980" xr:uid="{00000000-0005-0000-0000-00007F120000}"/>
    <cellStyle name="Note 6 2" xfId="1981" xr:uid="{00000000-0005-0000-0000-000080120000}"/>
    <cellStyle name="Note 6 3" xfId="1982" xr:uid="{00000000-0005-0000-0000-000081120000}"/>
    <cellStyle name="Note 6 4" xfId="1983" xr:uid="{00000000-0005-0000-0000-000082120000}"/>
    <cellStyle name="Note 6 5" xfId="1984" xr:uid="{00000000-0005-0000-0000-000083120000}"/>
    <cellStyle name="Note 6 6" xfId="1985" xr:uid="{00000000-0005-0000-0000-000084120000}"/>
    <cellStyle name="Note 7" xfId="1986" xr:uid="{00000000-0005-0000-0000-000085120000}"/>
    <cellStyle name="Note 7 2" xfId="1987" xr:uid="{00000000-0005-0000-0000-000086120000}"/>
    <cellStyle name="Note 7 3" xfId="1988" xr:uid="{00000000-0005-0000-0000-000087120000}"/>
    <cellStyle name="Note 7 4" xfId="1989" xr:uid="{00000000-0005-0000-0000-000088120000}"/>
    <cellStyle name="Note 7 5" xfId="1990" xr:uid="{00000000-0005-0000-0000-000089120000}"/>
    <cellStyle name="Note 7 6" xfId="1991" xr:uid="{00000000-0005-0000-0000-00008A120000}"/>
    <cellStyle name="Note 8" xfId="1992" xr:uid="{00000000-0005-0000-0000-00008B120000}"/>
    <cellStyle name="Note 8 2" xfId="1993" xr:uid="{00000000-0005-0000-0000-00008C120000}"/>
    <cellStyle name="Note 8 3" xfId="1994" xr:uid="{00000000-0005-0000-0000-00008D120000}"/>
    <cellStyle name="Note 8 4" xfId="1995" xr:uid="{00000000-0005-0000-0000-00008E120000}"/>
    <cellStyle name="Note 8 5" xfId="1996" xr:uid="{00000000-0005-0000-0000-00008F120000}"/>
    <cellStyle name="Note 8 6" xfId="1997" xr:uid="{00000000-0005-0000-0000-000090120000}"/>
    <cellStyle name="Note 9" xfId="1998" xr:uid="{00000000-0005-0000-0000-000091120000}"/>
    <cellStyle name="Note 9 2" xfId="1999" xr:uid="{00000000-0005-0000-0000-000092120000}"/>
    <cellStyle name="Note 9 3" xfId="2000" xr:uid="{00000000-0005-0000-0000-000093120000}"/>
    <cellStyle name="Note 9 4" xfId="2001" xr:uid="{00000000-0005-0000-0000-000094120000}"/>
    <cellStyle name="Note 9 5" xfId="2002" xr:uid="{00000000-0005-0000-0000-000095120000}"/>
    <cellStyle name="Note 9 6" xfId="2003" xr:uid="{00000000-0005-0000-0000-000096120000}"/>
    <cellStyle name="Option" xfId="2004" xr:uid="{00000000-0005-0000-0000-000097120000}"/>
    <cellStyle name="OptionHeading2" xfId="2005" xr:uid="{00000000-0005-0000-0000-000098120000}"/>
    <cellStyle name="Output" xfId="2006" xr:uid="{00000000-0005-0000-0000-000099120000}"/>
    <cellStyle name="Output 2" xfId="2007" xr:uid="{00000000-0005-0000-0000-00009A120000}"/>
    <cellStyle name="Output 2 10" xfId="2008" xr:uid="{00000000-0005-0000-0000-00009B120000}"/>
    <cellStyle name="Output 2 10 2" xfId="7805" xr:uid="{00000000-0005-0000-0000-00009C120000}"/>
    <cellStyle name="Output 2 11" xfId="7806" xr:uid="{00000000-0005-0000-0000-00009D120000}"/>
    <cellStyle name="Output 2 12" xfId="7807" xr:uid="{00000000-0005-0000-0000-00009E120000}"/>
    <cellStyle name="Output 2 13" xfId="7808" xr:uid="{00000000-0005-0000-0000-00009F120000}"/>
    <cellStyle name="Output 2 14" xfId="7809" xr:uid="{00000000-0005-0000-0000-0000A0120000}"/>
    <cellStyle name="Output 2 15" xfId="7810" xr:uid="{00000000-0005-0000-0000-0000A1120000}"/>
    <cellStyle name="Output 2 16" xfId="7811" xr:uid="{00000000-0005-0000-0000-0000A2120000}"/>
    <cellStyle name="Output 2 17" xfId="7812" xr:uid="{00000000-0005-0000-0000-0000A3120000}"/>
    <cellStyle name="Output 2 18" xfId="7813" xr:uid="{00000000-0005-0000-0000-0000A4120000}"/>
    <cellStyle name="Output 2 19" xfId="7814" xr:uid="{00000000-0005-0000-0000-0000A5120000}"/>
    <cellStyle name="Output 2 2" xfId="2009" xr:uid="{00000000-0005-0000-0000-0000A6120000}"/>
    <cellStyle name="Output 2 20" xfId="7815" xr:uid="{00000000-0005-0000-0000-0000A7120000}"/>
    <cellStyle name="Output 2 21" xfId="7816" xr:uid="{00000000-0005-0000-0000-0000A8120000}"/>
    <cellStyle name="Output 2 22" xfId="7817" xr:uid="{00000000-0005-0000-0000-0000A9120000}"/>
    <cellStyle name="Output 2 23" xfId="7818" xr:uid="{00000000-0005-0000-0000-0000AA120000}"/>
    <cellStyle name="Output 2 24" xfId="7819" xr:uid="{00000000-0005-0000-0000-0000AB120000}"/>
    <cellStyle name="Output 2 25" xfId="7820" xr:uid="{00000000-0005-0000-0000-0000AC120000}"/>
    <cellStyle name="Output 2 26" xfId="7821" xr:uid="{00000000-0005-0000-0000-0000AD120000}"/>
    <cellStyle name="Output 2 3" xfId="2010" xr:uid="{00000000-0005-0000-0000-0000AE120000}"/>
    <cellStyle name="Output 2 3 2" xfId="2011" xr:uid="{00000000-0005-0000-0000-0000AF120000}"/>
    <cellStyle name="Output 2 3 2 2" xfId="7822" xr:uid="{00000000-0005-0000-0000-0000B0120000}"/>
    <cellStyle name="Output 2 3 3" xfId="2012" xr:uid="{00000000-0005-0000-0000-0000B1120000}"/>
    <cellStyle name="Output 2 3 3 2" xfId="7823" xr:uid="{00000000-0005-0000-0000-0000B2120000}"/>
    <cellStyle name="Output 2 3 4" xfId="2013" xr:uid="{00000000-0005-0000-0000-0000B3120000}"/>
    <cellStyle name="Output 2 3 4 2" xfId="7824" xr:uid="{00000000-0005-0000-0000-0000B4120000}"/>
    <cellStyle name="Output 2 3 5" xfId="2014" xr:uid="{00000000-0005-0000-0000-0000B5120000}"/>
    <cellStyle name="Output 2 3 5 2" xfId="7825" xr:uid="{00000000-0005-0000-0000-0000B6120000}"/>
    <cellStyle name="Output 2 3 6" xfId="2015" xr:uid="{00000000-0005-0000-0000-0000B7120000}"/>
    <cellStyle name="Output 2 3 6 2" xfId="7826" xr:uid="{00000000-0005-0000-0000-0000B8120000}"/>
    <cellStyle name="Output 2 3 7" xfId="2016" xr:uid="{00000000-0005-0000-0000-0000B9120000}"/>
    <cellStyle name="Output 2 3 7 2" xfId="7827" xr:uid="{00000000-0005-0000-0000-0000BA120000}"/>
    <cellStyle name="Output 2 3 8" xfId="2017" xr:uid="{00000000-0005-0000-0000-0000BB120000}"/>
    <cellStyle name="Output 2 3 8 2" xfId="7828" xr:uid="{00000000-0005-0000-0000-0000BC120000}"/>
    <cellStyle name="Output 2 3 9" xfId="7829" xr:uid="{00000000-0005-0000-0000-0000BD120000}"/>
    <cellStyle name="Output 2 4" xfId="2018" xr:uid="{00000000-0005-0000-0000-0000BE120000}"/>
    <cellStyle name="Output 2 4 10" xfId="7830" xr:uid="{00000000-0005-0000-0000-0000BF120000}"/>
    <cellStyle name="Output 2 4 2" xfId="7831" xr:uid="{00000000-0005-0000-0000-0000C0120000}"/>
    <cellStyle name="Output 2 4 3" xfId="7832" xr:uid="{00000000-0005-0000-0000-0000C1120000}"/>
    <cellStyle name="Output 2 4 4" xfId="7833" xr:uid="{00000000-0005-0000-0000-0000C2120000}"/>
    <cellStyle name="Output 2 4 5" xfId="7834" xr:uid="{00000000-0005-0000-0000-0000C3120000}"/>
    <cellStyle name="Output 2 4 6" xfId="7835" xr:uid="{00000000-0005-0000-0000-0000C4120000}"/>
    <cellStyle name="Output 2 4 7" xfId="7836" xr:uid="{00000000-0005-0000-0000-0000C5120000}"/>
    <cellStyle name="Output 2 4 8" xfId="7837" xr:uid="{00000000-0005-0000-0000-0000C6120000}"/>
    <cellStyle name="Output 2 4 9" xfId="7838" xr:uid="{00000000-0005-0000-0000-0000C7120000}"/>
    <cellStyle name="Output 2 5" xfId="2019" xr:uid="{00000000-0005-0000-0000-0000C8120000}"/>
    <cellStyle name="Output 2 6" xfId="2020" xr:uid="{00000000-0005-0000-0000-0000C9120000}"/>
    <cellStyle name="Output 2 7" xfId="2021" xr:uid="{00000000-0005-0000-0000-0000CA120000}"/>
    <cellStyle name="Output 2 8" xfId="2022" xr:uid="{00000000-0005-0000-0000-0000CB120000}"/>
    <cellStyle name="Output 2 9" xfId="2023" xr:uid="{00000000-0005-0000-0000-0000CC120000}"/>
    <cellStyle name="Output 2_Blood_21months_EURO" xfId="2024" xr:uid="{00000000-0005-0000-0000-0000CD120000}"/>
    <cellStyle name="Output 3" xfId="2025" xr:uid="{00000000-0005-0000-0000-0000CE120000}"/>
    <cellStyle name="Output 3 2" xfId="2026" xr:uid="{00000000-0005-0000-0000-0000CF120000}"/>
    <cellStyle name="Output 3_GEO-H-GPIC 3 months budget_ALLdraft" xfId="2027" xr:uid="{00000000-0005-0000-0000-0000D0120000}"/>
    <cellStyle name="Output 4" xfId="2028" xr:uid="{00000000-0005-0000-0000-0000D1120000}"/>
    <cellStyle name="Output 4 2" xfId="2029" xr:uid="{00000000-0005-0000-0000-0000D2120000}"/>
    <cellStyle name="Output 4_GEO-H-GPIC 3 months budget_ALLdraft" xfId="2030" xr:uid="{00000000-0005-0000-0000-0000D3120000}"/>
    <cellStyle name="Output 5" xfId="2031" xr:uid="{00000000-0005-0000-0000-0000D4120000}"/>
    <cellStyle name="Output 6" xfId="2032" xr:uid="{00000000-0005-0000-0000-0000D5120000}"/>
    <cellStyle name="Output 6 2" xfId="2033" xr:uid="{00000000-0005-0000-0000-0000D6120000}"/>
    <cellStyle name="Output 7" xfId="2034" xr:uid="{00000000-0005-0000-0000-0000D7120000}"/>
    <cellStyle name="Output 7 2" xfId="2035" xr:uid="{00000000-0005-0000-0000-0000D8120000}"/>
    <cellStyle name="Percent 2" xfId="2036" xr:uid="{00000000-0005-0000-0000-0000D9120000}"/>
    <cellStyle name="Percent 2 10" xfId="2037" xr:uid="{00000000-0005-0000-0000-0000DA120000}"/>
    <cellStyle name="Percent 2 10 2" xfId="7839" xr:uid="{00000000-0005-0000-0000-0000DB120000}"/>
    <cellStyle name="Percent 2 11" xfId="2038" xr:uid="{00000000-0005-0000-0000-0000DC120000}"/>
    <cellStyle name="Percent 2 11 2" xfId="7840" xr:uid="{00000000-0005-0000-0000-0000DD120000}"/>
    <cellStyle name="Percent 2 12" xfId="2039" xr:uid="{00000000-0005-0000-0000-0000DE120000}"/>
    <cellStyle name="Percent 2 12 2" xfId="7841" xr:uid="{00000000-0005-0000-0000-0000DF120000}"/>
    <cellStyle name="Percent 2 13" xfId="2040" xr:uid="{00000000-0005-0000-0000-0000E0120000}"/>
    <cellStyle name="Percent 2 13 2" xfId="7842" xr:uid="{00000000-0005-0000-0000-0000E1120000}"/>
    <cellStyle name="Percent 2 14" xfId="2041" xr:uid="{00000000-0005-0000-0000-0000E2120000}"/>
    <cellStyle name="Percent 2 15" xfId="2042" xr:uid="{00000000-0005-0000-0000-0000E3120000}"/>
    <cellStyle name="Percent 2 16" xfId="2043" xr:uid="{00000000-0005-0000-0000-0000E4120000}"/>
    <cellStyle name="Percent 2 17" xfId="7843" xr:uid="{00000000-0005-0000-0000-0000E5120000}"/>
    <cellStyle name="Percent 2 18" xfId="7844" xr:uid="{00000000-0005-0000-0000-0000E6120000}"/>
    <cellStyle name="Percent 2 19" xfId="7845" xr:uid="{00000000-0005-0000-0000-0000E7120000}"/>
    <cellStyle name="Percent 2 2" xfId="2044" xr:uid="{00000000-0005-0000-0000-0000E8120000}"/>
    <cellStyle name="Percent 2 2 10" xfId="2045" xr:uid="{00000000-0005-0000-0000-0000E9120000}"/>
    <cellStyle name="Percent 2 2 2" xfId="2046" xr:uid="{00000000-0005-0000-0000-0000EA120000}"/>
    <cellStyle name="Percent 2 2 2 2" xfId="7846" xr:uid="{00000000-0005-0000-0000-0000EB120000}"/>
    <cellStyle name="Percent 2 2 2 3" xfId="7847" xr:uid="{00000000-0005-0000-0000-0000EC120000}"/>
    <cellStyle name="Percent 2 2 3" xfId="2047" xr:uid="{00000000-0005-0000-0000-0000ED120000}"/>
    <cellStyle name="Percent 2 2 4" xfId="2048" xr:uid="{00000000-0005-0000-0000-0000EE120000}"/>
    <cellStyle name="Percent 2 2 5" xfId="2049" xr:uid="{00000000-0005-0000-0000-0000EF120000}"/>
    <cellStyle name="Percent 2 2 6" xfId="2050" xr:uid="{00000000-0005-0000-0000-0000F0120000}"/>
    <cellStyle name="Percent 2 2 7" xfId="2051" xr:uid="{00000000-0005-0000-0000-0000F1120000}"/>
    <cellStyle name="Percent 2 2 8" xfId="2052" xr:uid="{00000000-0005-0000-0000-0000F2120000}"/>
    <cellStyle name="Percent 2 2 9" xfId="2053" xr:uid="{00000000-0005-0000-0000-0000F3120000}"/>
    <cellStyle name="Percent 2 20" xfId="7848" xr:uid="{00000000-0005-0000-0000-0000F4120000}"/>
    <cellStyle name="Percent 2 21" xfId="7849" xr:uid="{00000000-0005-0000-0000-0000F5120000}"/>
    <cellStyle name="Percent 2 22" xfId="7850" xr:uid="{00000000-0005-0000-0000-0000F6120000}"/>
    <cellStyle name="Percent 2 23" xfId="7851" xr:uid="{00000000-0005-0000-0000-0000F7120000}"/>
    <cellStyle name="Percent 2 24" xfId="7852" xr:uid="{00000000-0005-0000-0000-0000F8120000}"/>
    <cellStyle name="Percent 2 25" xfId="7853" xr:uid="{00000000-0005-0000-0000-0000F9120000}"/>
    <cellStyle name="Percent 2 26" xfId="7854" xr:uid="{00000000-0005-0000-0000-0000FA120000}"/>
    <cellStyle name="Percent 2 27" xfId="7855" xr:uid="{00000000-0005-0000-0000-0000FB120000}"/>
    <cellStyle name="Percent 2 28" xfId="7856" xr:uid="{00000000-0005-0000-0000-0000FC120000}"/>
    <cellStyle name="Percent 2 29" xfId="7857" xr:uid="{00000000-0005-0000-0000-0000FD120000}"/>
    <cellStyle name="Percent 2 3" xfId="2054" xr:uid="{00000000-0005-0000-0000-0000FE120000}"/>
    <cellStyle name="Percent 2 3 2" xfId="2055" xr:uid="{00000000-0005-0000-0000-0000FF120000}"/>
    <cellStyle name="Percent 2 30" xfId="7858" xr:uid="{00000000-0005-0000-0000-000000130000}"/>
    <cellStyle name="Percent 2 31" xfId="7859" xr:uid="{00000000-0005-0000-0000-000001130000}"/>
    <cellStyle name="Percent 2 32" xfId="7860" xr:uid="{00000000-0005-0000-0000-000002130000}"/>
    <cellStyle name="Percent 2 33" xfId="7861" xr:uid="{00000000-0005-0000-0000-000003130000}"/>
    <cellStyle name="Percent 2 34" xfId="7862" xr:uid="{00000000-0005-0000-0000-000004130000}"/>
    <cellStyle name="Percent 2 35" xfId="7863" xr:uid="{00000000-0005-0000-0000-000005130000}"/>
    <cellStyle name="Percent 2 4" xfId="2056" xr:uid="{00000000-0005-0000-0000-000006130000}"/>
    <cellStyle name="Percent 2 4 2" xfId="2057" xr:uid="{00000000-0005-0000-0000-000007130000}"/>
    <cellStyle name="Percent 2 5" xfId="2058" xr:uid="{00000000-0005-0000-0000-000008130000}"/>
    <cellStyle name="Percent 2 6" xfId="2059" xr:uid="{00000000-0005-0000-0000-000009130000}"/>
    <cellStyle name="Percent 2 7" xfId="2060" xr:uid="{00000000-0005-0000-0000-00000A130000}"/>
    <cellStyle name="Percent 2 8" xfId="2061" xr:uid="{00000000-0005-0000-0000-00000B130000}"/>
    <cellStyle name="Percent 2 9" xfId="2062" xr:uid="{00000000-0005-0000-0000-00000C130000}"/>
    <cellStyle name="Percent 2 9 2" xfId="7864" xr:uid="{00000000-0005-0000-0000-00000D130000}"/>
    <cellStyle name="Percent 3" xfId="2063" xr:uid="{00000000-0005-0000-0000-00000E130000}"/>
    <cellStyle name="Percent 3 10" xfId="2064" xr:uid="{00000000-0005-0000-0000-00000F130000}"/>
    <cellStyle name="Percent 3 11" xfId="2065" xr:uid="{00000000-0005-0000-0000-000010130000}"/>
    <cellStyle name="Percent 3 12" xfId="2066" xr:uid="{00000000-0005-0000-0000-000011130000}"/>
    <cellStyle name="Percent 3 2" xfId="2067" xr:uid="{00000000-0005-0000-0000-000012130000}"/>
    <cellStyle name="Percent 3 3" xfId="2068" xr:uid="{00000000-0005-0000-0000-000013130000}"/>
    <cellStyle name="Percent 3 4" xfId="2069" xr:uid="{00000000-0005-0000-0000-000014130000}"/>
    <cellStyle name="Percent 3 5" xfId="2070" xr:uid="{00000000-0005-0000-0000-000015130000}"/>
    <cellStyle name="Percent 3 6" xfId="2071" xr:uid="{00000000-0005-0000-0000-000016130000}"/>
    <cellStyle name="Percent 3 7" xfId="2072" xr:uid="{00000000-0005-0000-0000-000017130000}"/>
    <cellStyle name="Percent 3 8" xfId="2073" xr:uid="{00000000-0005-0000-0000-000018130000}"/>
    <cellStyle name="Percent 3 9" xfId="2074" xr:uid="{00000000-0005-0000-0000-000019130000}"/>
    <cellStyle name="Percent 4" xfId="2075" xr:uid="{00000000-0005-0000-0000-00001A130000}"/>
    <cellStyle name="Percent 4 10" xfId="7865" xr:uid="{00000000-0005-0000-0000-00001B130000}"/>
    <cellStyle name="Percent 4 11" xfId="7866" xr:uid="{00000000-0005-0000-0000-00001C130000}"/>
    <cellStyle name="Percent 4 2" xfId="7867" xr:uid="{00000000-0005-0000-0000-00001D130000}"/>
    <cellStyle name="Percent 4 3" xfId="7868" xr:uid="{00000000-0005-0000-0000-00001E130000}"/>
    <cellStyle name="Percent 4 4" xfId="7869" xr:uid="{00000000-0005-0000-0000-00001F130000}"/>
    <cellStyle name="Percent 4 5" xfId="7870" xr:uid="{00000000-0005-0000-0000-000020130000}"/>
    <cellStyle name="Percent 4 6" xfId="7871" xr:uid="{00000000-0005-0000-0000-000021130000}"/>
    <cellStyle name="Percent 4 7" xfId="7872" xr:uid="{00000000-0005-0000-0000-000022130000}"/>
    <cellStyle name="Percent 4 8" xfId="7873" xr:uid="{00000000-0005-0000-0000-000023130000}"/>
    <cellStyle name="Percent 4 9" xfId="7874" xr:uid="{00000000-0005-0000-0000-000024130000}"/>
    <cellStyle name="Percent 5" xfId="2076" xr:uid="{00000000-0005-0000-0000-000025130000}"/>
    <cellStyle name="Percent 5 2" xfId="7875" xr:uid="{00000000-0005-0000-0000-000026130000}"/>
    <cellStyle name="Percent 5 3" xfId="7876" xr:uid="{00000000-0005-0000-0000-000027130000}"/>
    <cellStyle name="Percent 6" xfId="2077" xr:uid="{00000000-0005-0000-0000-000028130000}"/>
    <cellStyle name="Percent 7" xfId="2078" xr:uid="{00000000-0005-0000-0000-000029130000}"/>
    <cellStyle name="Price" xfId="2079" xr:uid="{00000000-0005-0000-0000-00002A130000}"/>
    <cellStyle name="Style 1" xfId="2080" xr:uid="{00000000-0005-0000-0000-00002B130000}"/>
    <cellStyle name="Style 1 2" xfId="7877" xr:uid="{00000000-0005-0000-0000-00002C130000}"/>
    <cellStyle name="TableStyleLight1" xfId="2081" xr:uid="{00000000-0005-0000-0000-00002D130000}"/>
    <cellStyle name="Title" xfId="2082" xr:uid="{00000000-0005-0000-0000-00002E130000}"/>
    <cellStyle name="Title 2" xfId="2083" xr:uid="{00000000-0005-0000-0000-00002F130000}"/>
    <cellStyle name="Title 2 10" xfId="2084" xr:uid="{00000000-0005-0000-0000-000030130000}"/>
    <cellStyle name="Title 2 10 2" xfId="7878" xr:uid="{00000000-0005-0000-0000-000031130000}"/>
    <cellStyle name="Title 2 11" xfId="7879" xr:uid="{00000000-0005-0000-0000-000032130000}"/>
    <cellStyle name="Title 2 12" xfId="7880" xr:uid="{00000000-0005-0000-0000-000033130000}"/>
    <cellStyle name="Title 2 13" xfId="7881" xr:uid="{00000000-0005-0000-0000-000034130000}"/>
    <cellStyle name="Title 2 14" xfId="7882" xr:uid="{00000000-0005-0000-0000-000035130000}"/>
    <cellStyle name="Title 2 15" xfId="7883" xr:uid="{00000000-0005-0000-0000-000036130000}"/>
    <cellStyle name="Title 2 16" xfId="7884" xr:uid="{00000000-0005-0000-0000-000037130000}"/>
    <cellStyle name="Title 2 17" xfId="7885" xr:uid="{00000000-0005-0000-0000-000038130000}"/>
    <cellStyle name="Title 2 18" xfId="7886" xr:uid="{00000000-0005-0000-0000-000039130000}"/>
    <cellStyle name="Title 2 19" xfId="7887" xr:uid="{00000000-0005-0000-0000-00003A130000}"/>
    <cellStyle name="Title 2 2" xfId="2085" xr:uid="{00000000-0005-0000-0000-00003B130000}"/>
    <cellStyle name="Title 2 20" xfId="7888" xr:uid="{00000000-0005-0000-0000-00003C130000}"/>
    <cellStyle name="Title 2 21" xfId="7889" xr:uid="{00000000-0005-0000-0000-00003D130000}"/>
    <cellStyle name="Title 2 22" xfId="7890" xr:uid="{00000000-0005-0000-0000-00003E130000}"/>
    <cellStyle name="Title 2 23" xfId="7891" xr:uid="{00000000-0005-0000-0000-00003F130000}"/>
    <cellStyle name="Title 2 24" xfId="7892" xr:uid="{00000000-0005-0000-0000-000040130000}"/>
    <cellStyle name="Title 2 25" xfId="7893" xr:uid="{00000000-0005-0000-0000-000041130000}"/>
    <cellStyle name="Title 2 26" xfId="7894" xr:uid="{00000000-0005-0000-0000-000042130000}"/>
    <cellStyle name="Title 2 3" xfId="2086" xr:uid="{00000000-0005-0000-0000-000043130000}"/>
    <cellStyle name="Title 2 3 2" xfId="2087" xr:uid="{00000000-0005-0000-0000-000044130000}"/>
    <cellStyle name="Title 2 3 2 2" xfId="7895" xr:uid="{00000000-0005-0000-0000-000045130000}"/>
    <cellStyle name="Title 2 3 3" xfId="2088" xr:uid="{00000000-0005-0000-0000-000046130000}"/>
    <cellStyle name="Title 2 3 3 2" xfId="7896" xr:uid="{00000000-0005-0000-0000-000047130000}"/>
    <cellStyle name="Title 2 3 4" xfId="2089" xr:uid="{00000000-0005-0000-0000-000048130000}"/>
    <cellStyle name="Title 2 3 4 2" xfId="7897" xr:uid="{00000000-0005-0000-0000-000049130000}"/>
    <cellStyle name="Title 2 3 5" xfId="2090" xr:uid="{00000000-0005-0000-0000-00004A130000}"/>
    <cellStyle name="Title 2 3 5 2" xfId="7898" xr:uid="{00000000-0005-0000-0000-00004B130000}"/>
    <cellStyle name="Title 2 3 6" xfId="2091" xr:uid="{00000000-0005-0000-0000-00004C130000}"/>
    <cellStyle name="Title 2 3 6 2" xfId="7899" xr:uid="{00000000-0005-0000-0000-00004D130000}"/>
    <cellStyle name="Title 2 3 7" xfId="2092" xr:uid="{00000000-0005-0000-0000-00004E130000}"/>
    <cellStyle name="Title 2 3 7 2" xfId="7900" xr:uid="{00000000-0005-0000-0000-00004F130000}"/>
    <cellStyle name="Title 2 3 8" xfId="2093" xr:uid="{00000000-0005-0000-0000-000050130000}"/>
    <cellStyle name="Title 2 3 8 2" xfId="7901" xr:uid="{00000000-0005-0000-0000-000051130000}"/>
    <cellStyle name="Title 2 3 9" xfId="7902" xr:uid="{00000000-0005-0000-0000-000052130000}"/>
    <cellStyle name="Title 2 4" xfId="2094" xr:uid="{00000000-0005-0000-0000-000053130000}"/>
    <cellStyle name="Title 2 4 10" xfId="7903" xr:uid="{00000000-0005-0000-0000-000054130000}"/>
    <cellStyle name="Title 2 4 2" xfId="7904" xr:uid="{00000000-0005-0000-0000-000055130000}"/>
    <cellStyle name="Title 2 4 3" xfId="7905" xr:uid="{00000000-0005-0000-0000-000056130000}"/>
    <cellStyle name="Title 2 4 4" xfId="7906" xr:uid="{00000000-0005-0000-0000-000057130000}"/>
    <cellStyle name="Title 2 4 5" xfId="7907" xr:uid="{00000000-0005-0000-0000-000058130000}"/>
    <cellStyle name="Title 2 4 6" xfId="7908" xr:uid="{00000000-0005-0000-0000-000059130000}"/>
    <cellStyle name="Title 2 4 7" xfId="7909" xr:uid="{00000000-0005-0000-0000-00005A130000}"/>
    <cellStyle name="Title 2 4 8" xfId="7910" xr:uid="{00000000-0005-0000-0000-00005B130000}"/>
    <cellStyle name="Title 2 4 9" xfId="7911" xr:uid="{00000000-0005-0000-0000-00005C130000}"/>
    <cellStyle name="Title 2 5" xfId="2095" xr:uid="{00000000-0005-0000-0000-00005D130000}"/>
    <cellStyle name="Title 2 6" xfId="2096" xr:uid="{00000000-0005-0000-0000-00005E130000}"/>
    <cellStyle name="Title 2 7" xfId="2097" xr:uid="{00000000-0005-0000-0000-00005F130000}"/>
    <cellStyle name="Title 2 8" xfId="2098" xr:uid="{00000000-0005-0000-0000-000060130000}"/>
    <cellStyle name="Title 2 9" xfId="2099" xr:uid="{00000000-0005-0000-0000-000061130000}"/>
    <cellStyle name="Title 2_Blood_21months_EURO" xfId="2100" xr:uid="{00000000-0005-0000-0000-000062130000}"/>
    <cellStyle name="Title 3" xfId="2101" xr:uid="{00000000-0005-0000-0000-000063130000}"/>
    <cellStyle name="Title 3 2" xfId="2102" xr:uid="{00000000-0005-0000-0000-000064130000}"/>
    <cellStyle name="Title 4" xfId="2103" xr:uid="{00000000-0005-0000-0000-000065130000}"/>
    <cellStyle name="Title 4 2" xfId="2104" xr:uid="{00000000-0005-0000-0000-000066130000}"/>
    <cellStyle name="Title 5" xfId="2105" xr:uid="{00000000-0005-0000-0000-000067130000}"/>
    <cellStyle name="Title 6" xfId="2106" xr:uid="{00000000-0005-0000-0000-000068130000}"/>
    <cellStyle name="Title 6 2" xfId="2107" xr:uid="{00000000-0005-0000-0000-000069130000}"/>
    <cellStyle name="Title 7" xfId="2108" xr:uid="{00000000-0005-0000-0000-00006A130000}"/>
    <cellStyle name="Title 7 2" xfId="2109" xr:uid="{00000000-0005-0000-0000-00006B130000}"/>
    <cellStyle name="Total" xfId="2110" xr:uid="{00000000-0005-0000-0000-00006C130000}"/>
    <cellStyle name="Total 2" xfId="2111" xr:uid="{00000000-0005-0000-0000-00006D130000}"/>
    <cellStyle name="Total 2 10" xfId="2112" xr:uid="{00000000-0005-0000-0000-00006E130000}"/>
    <cellStyle name="Total 2 10 2" xfId="7912" xr:uid="{00000000-0005-0000-0000-00006F130000}"/>
    <cellStyle name="Total 2 11" xfId="7913" xr:uid="{00000000-0005-0000-0000-000070130000}"/>
    <cellStyle name="Total 2 12" xfId="7914" xr:uid="{00000000-0005-0000-0000-000071130000}"/>
    <cellStyle name="Total 2 13" xfId="7915" xr:uid="{00000000-0005-0000-0000-000072130000}"/>
    <cellStyle name="Total 2 14" xfId="7916" xr:uid="{00000000-0005-0000-0000-000073130000}"/>
    <cellStyle name="Total 2 15" xfId="7917" xr:uid="{00000000-0005-0000-0000-000074130000}"/>
    <cellStyle name="Total 2 16" xfId="7918" xr:uid="{00000000-0005-0000-0000-000075130000}"/>
    <cellStyle name="Total 2 17" xfId="7919" xr:uid="{00000000-0005-0000-0000-000076130000}"/>
    <cellStyle name="Total 2 18" xfId="7920" xr:uid="{00000000-0005-0000-0000-000077130000}"/>
    <cellStyle name="Total 2 19" xfId="7921" xr:uid="{00000000-0005-0000-0000-000078130000}"/>
    <cellStyle name="Total 2 2" xfId="2113" xr:uid="{00000000-0005-0000-0000-000079130000}"/>
    <cellStyle name="Total 2 20" xfId="7922" xr:uid="{00000000-0005-0000-0000-00007A130000}"/>
    <cellStyle name="Total 2 21" xfId="7923" xr:uid="{00000000-0005-0000-0000-00007B130000}"/>
    <cellStyle name="Total 2 22" xfId="7924" xr:uid="{00000000-0005-0000-0000-00007C130000}"/>
    <cellStyle name="Total 2 23" xfId="7925" xr:uid="{00000000-0005-0000-0000-00007D130000}"/>
    <cellStyle name="Total 2 24" xfId="7926" xr:uid="{00000000-0005-0000-0000-00007E130000}"/>
    <cellStyle name="Total 2 25" xfId="7927" xr:uid="{00000000-0005-0000-0000-00007F130000}"/>
    <cellStyle name="Total 2 26" xfId="7928" xr:uid="{00000000-0005-0000-0000-000080130000}"/>
    <cellStyle name="Total 2 3" xfId="2114" xr:uid="{00000000-0005-0000-0000-000081130000}"/>
    <cellStyle name="Total 2 3 2" xfId="2115" xr:uid="{00000000-0005-0000-0000-000082130000}"/>
    <cellStyle name="Total 2 3 2 2" xfId="7929" xr:uid="{00000000-0005-0000-0000-000083130000}"/>
    <cellStyle name="Total 2 3 3" xfId="2116" xr:uid="{00000000-0005-0000-0000-000084130000}"/>
    <cellStyle name="Total 2 3 3 2" xfId="7930" xr:uid="{00000000-0005-0000-0000-000085130000}"/>
    <cellStyle name="Total 2 3 4" xfId="2117" xr:uid="{00000000-0005-0000-0000-000086130000}"/>
    <cellStyle name="Total 2 3 4 2" xfId="7931" xr:uid="{00000000-0005-0000-0000-000087130000}"/>
    <cellStyle name="Total 2 3 5" xfId="2118" xr:uid="{00000000-0005-0000-0000-000088130000}"/>
    <cellStyle name="Total 2 3 5 2" xfId="7932" xr:uid="{00000000-0005-0000-0000-000089130000}"/>
    <cellStyle name="Total 2 3 6" xfId="2119" xr:uid="{00000000-0005-0000-0000-00008A130000}"/>
    <cellStyle name="Total 2 3 6 2" xfId="7933" xr:uid="{00000000-0005-0000-0000-00008B130000}"/>
    <cellStyle name="Total 2 3 7" xfId="2120" xr:uid="{00000000-0005-0000-0000-00008C130000}"/>
    <cellStyle name="Total 2 3 7 2" xfId="7934" xr:uid="{00000000-0005-0000-0000-00008D130000}"/>
    <cellStyle name="Total 2 3 8" xfId="2121" xr:uid="{00000000-0005-0000-0000-00008E130000}"/>
    <cellStyle name="Total 2 3 8 2" xfId="7935" xr:uid="{00000000-0005-0000-0000-00008F130000}"/>
    <cellStyle name="Total 2 3 9" xfId="7936" xr:uid="{00000000-0005-0000-0000-000090130000}"/>
    <cellStyle name="Total 2 4" xfId="2122" xr:uid="{00000000-0005-0000-0000-000091130000}"/>
    <cellStyle name="Total 2 4 10" xfId="7937" xr:uid="{00000000-0005-0000-0000-000092130000}"/>
    <cellStyle name="Total 2 4 2" xfId="7938" xr:uid="{00000000-0005-0000-0000-000093130000}"/>
    <cellStyle name="Total 2 4 3" xfId="7939" xr:uid="{00000000-0005-0000-0000-000094130000}"/>
    <cellStyle name="Total 2 4 4" xfId="7940" xr:uid="{00000000-0005-0000-0000-000095130000}"/>
    <cellStyle name="Total 2 4 5" xfId="7941" xr:uid="{00000000-0005-0000-0000-000096130000}"/>
    <cellStyle name="Total 2 4 6" xfId="7942" xr:uid="{00000000-0005-0000-0000-000097130000}"/>
    <cellStyle name="Total 2 4 7" xfId="7943" xr:uid="{00000000-0005-0000-0000-000098130000}"/>
    <cellStyle name="Total 2 4 8" xfId="7944" xr:uid="{00000000-0005-0000-0000-000099130000}"/>
    <cellStyle name="Total 2 4 9" xfId="7945" xr:uid="{00000000-0005-0000-0000-00009A130000}"/>
    <cellStyle name="Total 2 5" xfId="2123" xr:uid="{00000000-0005-0000-0000-00009B130000}"/>
    <cellStyle name="Total 2 6" xfId="2124" xr:uid="{00000000-0005-0000-0000-00009C130000}"/>
    <cellStyle name="Total 2 7" xfId="2125" xr:uid="{00000000-0005-0000-0000-00009D130000}"/>
    <cellStyle name="Total 2 8" xfId="2126" xr:uid="{00000000-0005-0000-0000-00009E130000}"/>
    <cellStyle name="Total 2 9" xfId="2127" xr:uid="{00000000-0005-0000-0000-00009F130000}"/>
    <cellStyle name="Total 2_Blood_21months_EURO" xfId="2128" xr:uid="{00000000-0005-0000-0000-0000A0130000}"/>
    <cellStyle name="Total 3" xfId="2129" xr:uid="{00000000-0005-0000-0000-0000A1130000}"/>
    <cellStyle name="Total 3 2" xfId="2130" xr:uid="{00000000-0005-0000-0000-0000A2130000}"/>
    <cellStyle name="Total 3_GEO-H-GPIC 3 months budget_ALLdraft" xfId="2131" xr:uid="{00000000-0005-0000-0000-0000A3130000}"/>
    <cellStyle name="Total 4" xfId="2132" xr:uid="{00000000-0005-0000-0000-0000A4130000}"/>
    <cellStyle name="Total 4 2" xfId="2133" xr:uid="{00000000-0005-0000-0000-0000A5130000}"/>
    <cellStyle name="Total 4_GEO-H-GPIC 3 months budget_ALLdraft" xfId="2134" xr:uid="{00000000-0005-0000-0000-0000A6130000}"/>
    <cellStyle name="Total 5" xfId="2135" xr:uid="{00000000-0005-0000-0000-0000A7130000}"/>
    <cellStyle name="Total 6" xfId="2136" xr:uid="{00000000-0005-0000-0000-0000A8130000}"/>
    <cellStyle name="Total 6 2" xfId="2137" xr:uid="{00000000-0005-0000-0000-0000A9130000}"/>
    <cellStyle name="Total 7" xfId="2138" xr:uid="{00000000-0005-0000-0000-0000AA130000}"/>
    <cellStyle name="Total 7 2" xfId="2139" xr:uid="{00000000-0005-0000-0000-0000AB130000}"/>
    <cellStyle name="Unit" xfId="2140" xr:uid="{00000000-0005-0000-0000-0000AC130000}"/>
    <cellStyle name="Warning Text" xfId="2141" xr:uid="{00000000-0005-0000-0000-0000AD130000}"/>
    <cellStyle name="Warning Text 2" xfId="2142" xr:uid="{00000000-0005-0000-0000-0000AE130000}"/>
    <cellStyle name="Warning Text 2 10" xfId="7946" xr:uid="{00000000-0005-0000-0000-0000AF130000}"/>
    <cellStyle name="Warning Text 2 11" xfId="7947" xr:uid="{00000000-0005-0000-0000-0000B0130000}"/>
    <cellStyle name="Warning Text 2 12" xfId="7948" xr:uid="{00000000-0005-0000-0000-0000B1130000}"/>
    <cellStyle name="Warning Text 2 2" xfId="2143" xr:uid="{00000000-0005-0000-0000-0000B2130000}"/>
    <cellStyle name="Warning Text 2 3" xfId="2144" xr:uid="{00000000-0005-0000-0000-0000B3130000}"/>
    <cellStyle name="Warning Text 2 4" xfId="2145" xr:uid="{00000000-0005-0000-0000-0000B4130000}"/>
    <cellStyle name="Warning Text 2 5" xfId="2146" xr:uid="{00000000-0005-0000-0000-0000B5130000}"/>
    <cellStyle name="Warning Text 2 6" xfId="2147" xr:uid="{00000000-0005-0000-0000-0000B6130000}"/>
    <cellStyle name="Warning Text 2 7" xfId="2148" xr:uid="{00000000-0005-0000-0000-0000B7130000}"/>
    <cellStyle name="Warning Text 2 8" xfId="2149" xr:uid="{00000000-0005-0000-0000-0000B8130000}"/>
    <cellStyle name="Warning Text 2 9" xfId="2150" xr:uid="{00000000-0005-0000-0000-0000B9130000}"/>
    <cellStyle name="Warning Text 3" xfId="2151" xr:uid="{00000000-0005-0000-0000-0000BA130000}"/>
    <cellStyle name="Warning Text 3 2" xfId="2152" xr:uid="{00000000-0005-0000-0000-0000BB130000}"/>
    <cellStyle name="Warning Text 4" xfId="2153" xr:uid="{00000000-0005-0000-0000-0000BC130000}"/>
    <cellStyle name="Warning Text 4 2" xfId="2154" xr:uid="{00000000-0005-0000-0000-0000BD130000}"/>
    <cellStyle name="Warning Text 5" xfId="2155" xr:uid="{00000000-0005-0000-0000-0000BE130000}"/>
    <cellStyle name="Warning Text 6" xfId="2156" xr:uid="{00000000-0005-0000-0000-0000BF130000}"/>
    <cellStyle name="Warning Text 6 2" xfId="2157" xr:uid="{00000000-0005-0000-0000-0000C0130000}"/>
    <cellStyle name="Warning Text 7" xfId="2158" xr:uid="{00000000-0005-0000-0000-0000C1130000}"/>
    <cellStyle name="Warning Text 7 2" xfId="2159" xr:uid="{00000000-0005-0000-0000-0000C2130000}"/>
    <cellStyle name="Акцент1 10" xfId="7949" xr:uid="{00000000-0005-0000-0000-0000C3130000}"/>
    <cellStyle name="Акцент1 11" xfId="7950" xr:uid="{00000000-0005-0000-0000-0000C4130000}"/>
    <cellStyle name="Акцент1 12" xfId="7951" xr:uid="{00000000-0005-0000-0000-0000C5130000}"/>
    <cellStyle name="Акцент1 13" xfId="7952" xr:uid="{00000000-0005-0000-0000-0000C6130000}"/>
    <cellStyle name="Акцент1 14" xfId="7953" xr:uid="{00000000-0005-0000-0000-0000C7130000}"/>
    <cellStyle name="Акцент1 15" xfId="7954" xr:uid="{00000000-0005-0000-0000-0000C8130000}"/>
    <cellStyle name="Акцент1 16" xfId="7955" xr:uid="{00000000-0005-0000-0000-0000C9130000}"/>
    <cellStyle name="Акцент1 17" xfId="7956" xr:uid="{00000000-0005-0000-0000-0000CA130000}"/>
    <cellStyle name="Акцент1 18" xfId="7957" xr:uid="{00000000-0005-0000-0000-0000CB130000}"/>
    <cellStyle name="Акцент1 19" xfId="7958" xr:uid="{00000000-0005-0000-0000-0000CC130000}"/>
    <cellStyle name="Акцент1 2" xfId="2160" xr:uid="{00000000-0005-0000-0000-0000CD130000}"/>
    <cellStyle name="Акцент1 2 2" xfId="2161" xr:uid="{00000000-0005-0000-0000-0000CE130000}"/>
    <cellStyle name="Акцент1 2 3" xfId="2162" xr:uid="{00000000-0005-0000-0000-0000CF130000}"/>
    <cellStyle name="Акцент1 2 4" xfId="2163" xr:uid="{00000000-0005-0000-0000-0000D0130000}"/>
    <cellStyle name="Акцент1 2 5" xfId="2164" xr:uid="{00000000-0005-0000-0000-0000D1130000}"/>
    <cellStyle name="Акцент1 2 6" xfId="2165" xr:uid="{00000000-0005-0000-0000-0000D2130000}"/>
    <cellStyle name="Акцент1 2 7" xfId="2166" xr:uid="{00000000-0005-0000-0000-0000D3130000}"/>
    <cellStyle name="Акцент1 2 8" xfId="2167" xr:uid="{00000000-0005-0000-0000-0000D4130000}"/>
    <cellStyle name="Акцент1 2 9" xfId="2168" xr:uid="{00000000-0005-0000-0000-0000D5130000}"/>
    <cellStyle name="Акцент1 3" xfId="2169" xr:uid="{00000000-0005-0000-0000-0000D6130000}"/>
    <cellStyle name="Акцент1 4" xfId="2170" xr:uid="{00000000-0005-0000-0000-0000D7130000}"/>
    <cellStyle name="Акцент1 4 2" xfId="2171" xr:uid="{00000000-0005-0000-0000-0000D8130000}"/>
    <cellStyle name="Акцент1 5" xfId="2172" xr:uid="{00000000-0005-0000-0000-0000D9130000}"/>
    <cellStyle name="Акцент1 6" xfId="7959" xr:uid="{00000000-0005-0000-0000-0000DA130000}"/>
    <cellStyle name="Акцент1 7" xfId="7960" xr:uid="{00000000-0005-0000-0000-0000DB130000}"/>
    <cellStyle name="Акцент1 8" xfId="7961" xr:uid="{00000000-0005-0000-0000-0000DC130000}"/>
    <cellStyle name="Акцент1 9" xfId="7962" xr:uid="{00000000-0005-0000-0000-0000DD130000}"/>
    <cellStyle name="Акцент2 10" xfId="7963" xr:uid="{00000000-0005-0000-0000-0000DE130000}"/>
    <cellStyle name="Акцент2 11" xfId="7964" xr:uid="{00000000-0005-0000-0000-0000DF130000}"/>
    <cellStyle name="Акцент2 12" xfId="7965" xr:uid="{00000000-0005-0000-0000-0000E0130000}"/>
    <cellStyle name="Акцент2 13" xfId="7966" xr:uid="{00000000-0005-0000-0000-0000E1130000}"/>
    <cellStyle name="Акцент2 14" xfId="7967" xr:uid="{00000000-0005-0000-0000-0000E2130000}"/>
    <cellStyle name="Акцент2 15" xfId="7968" xr:uid="{00000000-0005-0000-0000-0000E3130000}"/>
    <cellStyle name="Акцент2 16" xfId="7969" xr:uid="{00000000-0005-0000-0000-0000E4130000}"/>
    <cellStyle name="Акцент2 17" xfId="7970" xr:uid="{00000000-0005-0000-0000-0000E5130000}"/>
    <cellStyle name="Акцент2 18" xfId="7971" xr:uid="{00000000-0005-0000-0000-0000E6130000}"/>
    <cellStyle name="Акцент2 19" xfId="7972" xr:uid="{00000000-0005-0000-0000-0000E7130000}"/>
    <cellStyle name="Акцент2 2" xfId="2173" xr:uid="{00000000-0005-0000-0000-0000E8130000}"/>
    <cellStyle name="Акцент2 2 2" xfId="2174" xr:uid="{00000000-0005-0000-0000-0000E9130000}"/>
    <cellStyle name="Акцент2 2 3" xfId="2175" xr:uid="{00000000-0005-0000-0000-0000EA130000}"/>
    <cellStyle name="Акцент2 2 4" xfId="2176" xr:uid="{00000000-0005-0000-0000-0000EB130000}"/>
    <cellStyle name="Акцент2 2 5" xfId="2177" xr:uid="{00000000-0005-0000-0000-0000EC130000}"/>
    <cellStyle name="Акцент2 2 6" xfId="2178" xr:uid="{00000000-0005-0000-0000-0000ED130000}"/>
    <cellStyle name="Акцент2 2 7" xfId="2179" xr:uid="{00000000-0005-0000-0000-0000EE130000}"/>
    <cellStyle name="Акцент2 2 8" xfId="2180" xr:uid="{00000000-0005-0000-0000-0000EF130000}"/>
    <cellStyle name="Акцент2 2 9" xfId="2181" xr:uid="{00000000-0005-0000-0000-0000F0130000}"/>
    <cellStyle name="Акцент2 3" xfId="2182" xr:uid="{00000000-0005-0000-0000-0000F1130000}"/>
    <cellStyle name="Акцент2 4" xfId="2183" xr:uid="{00000000-0005-0000-0000-0000F2130000}"/>
    <cellStyle name="Акцент2 4 2" xfId="2184" xr:uid="{00000000-0005-0000-0000-0000F3130000}"/>
    <cellStyle name="Акцент2 5" xfId="2185" xr:uid="{00000000-0005-0000-0000-0000F4130000}"/>
    <cellStyle name="Акцент2 6" xfId="7973" xr:uid="{00000000-0005-0000-0000-0000F5130000}"/>
    <cellStyle name="Акцент2 7" xfId="7974" xr:uid="{00000000-0005-0000-0000-0000F6130000}"/>
    <cellStyle name="Акцент2 8" xfId="7975" xr:uid="{00000000-0005-0000-0000-0000F7130000}"/>
    <cellStyle name="Акцент2 9" xfId="7976" xr:uid="{00000000-0005-0000-0000-0000F8130000}"/>
    <cellStyle name="Акцент3 10" xfId="7977" xr:uid="{00000000-0005-0000-0000-0000F9130000}"/>
    <cellStyle name="Акцент3 11" xfId="7978" xr:uid="{00000000-0005-0000-0000-0000FA130000}"/>
    <cellStyle name="Акцент3 12" xfId="7979" xr:uid="{00000000-0005-0000-0000-0000FB130000}"/>
    <cellStyle name="Акцент3 13" xfId="7980" xr:uid="{00000000-0005-0000-0000-0000FC130000}"/>
    <cellStyle name="Акцент3 14" xfId="7981" xr:uid="{00000000-0005-0000-0000-0000FD130000}"/>
    <cellStyle name="Акцент3 15" xfId="7982" xr:uid="{00000000-0005-0000-0000-0000FE130000}"/>
    <cellStyle name="Акцент3 16" xfId="7983" xr:uid="{00000000-0005-0000-0000-0000FF130000}"/>
    <cellStyle name="Акцент3 17" xfId="7984" xr:uid="{00000000-0005-0000-0000-000000140000}"/>
    <cellStyle name="Акцент3 18" xfId="7985" xr:uid="{00000000-0005-0000-0000-000001140000}"/>
    <cellStyle name="Акцент3 19" xfId="7986" xr:uid="{00000000-0005-0000-0000-000002140000}"/>
    <cellStyle name="Акцент3 2" xfId="2186" xr:uid="{00000000-0005-0000-0000-000003140000}"/>
    <cellStyle name="Акцент3 2 2" xfId="2187" xr:uid="{00000000-0005-0000-0000-000004140000}"/>
    <cellStyle name="Акцент3 2 3" xfId="2188" xr:uid="{00000000-0005-0000-0000-000005140000}"/>
    <cellStyle name="Акцент3 2 4" xfId="2189" xr:uid="{00000000-0005-0000-0000-000006140000}"/>
    <cellStyle name="Акцент3 2 5" xfId="2190" xr:uid="{00000000-0005-0000-0000-000007140000}"/>
    <cellStyle name="Акцент3 2 6" xfId="2191" xr:uid="{00000000-0005-0000-0000-000008140000}"/>
    <cellStyle name="Акцент3 2 7" xfId="2192" xr:uid="{00000000-0005-0000-0000-000009140000}"/>
    <cellStyle name="Акцент3 2 8" xfId="2193" xr:uid="{00000000-0005-0000-0000-00000A140000}"/>
    <cellStyle name="Акцент3 2 9" xfId="2194" xr:uid="{00000000-0005-0000-0000-00000B140000}"/>
    <cellStyle name="Акцент3 3" xfId="2195" xr:uid="{00000000-0005-0000-0000-00000C140000}"/>
    <cellStyle name="Акцент3 4" xfId="2196" xr:uid="{00000000-0005-0000-0000-00000D140000}"/>
    <cellStyle name="Акцент3 4 2" xfId="2197" xr:uid="{00000000-0005-0000-0000-00000E140000}"/>
    <cellStyle name="Акцент3 5" xfId="2198" xr:uid="{00000000-0005-0000-0000-00000F140000}"/>
    <cellStyle name="Акцент3 6" xfId="7987" xr:uid="{00000000-0005-0000-0000-000010140000}"/>
    <cellStyle name="Акцент3 7" xfId="7988" xr:uid="{00000000-0005-0000-0000-000011140000}"/>
    <cellStyle name="Акцент3 8" xfId="7989" xr:uid="{00000000-0005-0000-0000-000012140000}"/>
    <cellStyle name="Акцент3 9" xfId="7990" xr:uid="{00000000-0005-0000-0000-000013140000}"/>
    <cellStyle name="Акцент4 10" xfId="7991" xr:uid="{00000000-0005-0000-0000-000014140000}"/>
    <cellStyle name="Акцент4 11" xfId="7992" xr:uid="{00000000-0005-0000-0000-000015140000}"/>
    <cellStyle name="Акцент4 12" xfId="7993" xr:uid="{00000000-0005-0000-0000-000016140000}"/>
    <cellStyle name="Акцент4 13" xfId="7994" xr:uid="{00000000-0005-0000-0000-000017140000}"/>
    <cellStyle name="Акцент4 14" xfId="7995" xr:uid="{00000000-0005-0000-0000-000018140000}"/>
    <cellStyle name="Акцент4 15" xfId="7996" xr:uid="{00000000-0005-0000-0000-000019140000}"/>
    <cellStyle name="Акцент4 16" xfId="7997" xr:uid="{00000000-0005-0000-0000-00001A140000}"/>
    <cellStyle name="Акцент4 17" xfId="7998" xr:uid="{00000000-0005-0000-0000-00001B140000}"/>
    <cellStyle name="Акцент4 18" xfId="7999" xr:uid="{00000000-0005-0000-0000-00001C140000}"/>
    <cellStyle name="Акцент4 19" xfId="8000" xr:uid="{00000000-0005-0000-0000-00001D140000}"/>
    <cellStyle name="Акцент4 2" xfId="2199" xr:uid="{00000000-0005-0000-0000-00001E140000}"/>
    <cellStyle name="Акцент4 2 2" xfId="2200" xr:uid="{00000000-0005-0000-0000-00001F140000}"/>
    <cellStyle name="Акцент4 2 3" xfId="2201" xr:uid="{00000000-0005-0000-0000-000020140000}"/>
    <cellStyle name="Акцент4 2 4" xfId="2202" xr:uid="{00000000-0005-0000-0000-000021140000}"/>
    <cellStyle name="Акцент4 2 5" xfId="2203" xr:uid="{00000000-0005-0000-0000-000022140000}"/>
    <cellStyle name="Акцент4 2 6" xfId="2204" xr:uid="{00000000-0005-0000-0000-000023140000}"/>
    <cellStyle name="Акцент4 2 7" xfId="2205" xr:uid="{00000000-0005-0000-0000-000024140000}"/>
    <cellStyle name="Акцент4 2 8" xfId="2206" xr:uid="{00000000-0005-0000-0000-000025140000}"/>
    <cellStyle name="Акцент4 2 9" xfId="2207" xr:uid="{00000000-0005-0000-0000-000026140000}"/>
    <cellStyle name="Акцент4 3" xfId="2208" xr:uid="{00000000-0005-0000-0000-000027140000}"/>
    <cellStyle name="Акцент4 4" xfId="2209" xr:uid="{00000000-0005-0000-0000-000028140000}"/>
    <cellStyle name="Акцент4 4 2" xfId="2210" xr:uid="{00000000-0005-0000-0000-000029140000}"/>
    <cellStyle name="Акцент4 5" xfId="2211" xr:uid="{00000000-0005-0000-0000-00002A140000}"/>
    <cellStyle name="Акцент4 6" xfId="8001" xr:uid="{00000000-0005-0000-0000-00002B140000}"/>
    <cellStyle name="Акцент4 7" xfId="8002" xr:uid="{00000000-0005-0000-0000-00002C140000}"/>
    <cellStyle name="Акцент4 8" xfId="8003" xr:uid="{00000000-0005-0000-0000-00002D140000}"/>
    <cellStyle name="Акцент4 9" xfId="8004" xr:uid="{00000000-0005-0000-0000-00002E140000}"/>
    <cellStyle name="Акцент5 2" xfId="2212" xr:uid="{00000000-0005-0000-0000-00002F140000}"/>
    <cellStyle name="Акцент5 2 2" xfId="2213" xr:uid="{00000000-0005-0000-0000-000030140000}"/>
    <cellStyle name="Акцент5 2 3" xfId="2214" xr:uid="{00000000-0005-0000-0000-000031140000}"/>
    <cellStyle name="Акцент5 2 4" xfId="2215" xr:uid="{00000000-0005-0000-0000-000032140000}"/>
    <cellStyle name="Акцент5 2 5" xfId="2216" xr:uid="{00000000-0005-0000-0000-000033140000}"/>
    <cellStyle name="Акцент5 2 6" xfId="2217" xr:uid="{00000000-0005-0000-0000-000034140000}"/>
    <cellStyle name="Акцент5 2 7" xfId="2218" xr:uid="{00000000-0005-0000-0000-000035140000}"/>
    <cellStyle name="Акцент5 2 8" xfId="2219" xr:uid="{00000000-0005-0000-0000-000036140000}"/>
    <cellStyle name="Акцент5 2 9" xfId="2220" xr:uid="{00000000-0005-0000-0000-000037140000}"/>
    <cellStyle name="Акцент5 3" xfId="2221" xr:uid="{00000000-0005-0000-0000-000038140000}"/>
    <cellStyle name="Акцент6 2" xfId="2222" xr:uid="{00000000-0005-0000-0000-000039140000}"/>
    <cellStyle name="Акцент6 2 2" xfId="2223" xr:uid="{00000000-0005-0000-0000-00003A140000}"/>
    <cellStyle name="Акцент6 2 3" xfId="2224" xr:uid="{00000000-0005-0000-0000-00003B140000}"/>
    <cellStyle name="Акцент6 2 4" xfId="2225" xr:uid="{00000000-0005-0000-0000-00003C140000}"/>
    <cellStyle name="Акцент6 2 5" xfId="2226" xr:uid="{00000000-0005-0000-0000-00003D140000}"/>
    <cellStyle name="Акцент6 2 6" xfId="2227" xr:uid="{00000000-0005-0000-0000-00003E140000}"/>
    <cellStyle name="Акцент6 2 7" xfId="2228" xr:uid="{00000000-0005-0000-0000-00003F140000}"/>
    <cellStyle name="Акцент6 2 8" xfId="2229" xr:uid="{00000000-0005-0000-0000-000040140000}"/>
    <cellStyle name="Акцент6 2 9" xfId="2230" xr:uid="{00000000-0005-0000-0000-000041140000}"/>
    <cellStyle name="Акцент6 3" xfId="2231" xr:uid="{00000000-0005-0000-0000-000042140000}"/>
    <cellStyle name="Ввод  2" xfId="2232" xr:uid="{00000000-0005-0000-0000-000043140000}"/>
    <cellStyle name="Ввод  2 2" xfId="2233" xr:uid="{00000000-0005-0000-0000-000044140000}"/>
    <cellStyle name="Ввод  2 3" xfId="2234" xr:uid="{00000000-0005-0000-0000-000045140000}"/>
    <cellStyle name="Ввод  2 4" xfId="2235" xr:uid="{00000000-0005-0000-0000-000046140000}"/>
    <cellStyle name="Ввод  2 5" xfId="2236" xr:uid="{00000000-0005-0000-0000-000047140000}"/>
    <cellStyle name="Ввод  2 6" xfId="2237" xr:uid="{00000000-0005-0000-0000-000048140000}"/>
    <cellStyle name="Ввод  2 7" xfId="2238" xr:uid="{00000000-0005-0000-0000-000049140000}"/>
    <cellStyle name="Ввод  2 8" xfId="2239" xr:uid="{00000000-0005-0000-0000-00004A140000}"/>
    <cellStyle name="Ввод  2 9" xfId="2240" xr:uid="{00000000-0005-0000-0000-00004B140000}"/>
    <cellStyle name="Ввод  3" xfId="2241" xr:uid="{00000000-0005-0000-0000-00004C140000}"/>
    <cellStyle name="Відсотковий 2" xfId="2242" xr:uid="{00000000-0005-0000-0000-00004D140000}"/>
    <cellStyle name="Вывод 10" xfId="8005" xr:uid="{00000000-0005-0000-0000-00004E140000}"/>
    <cellStyle name="Вывод 11" xfId="8006" xr:uid="{00000000-0005-0000-0000-00004F140000}"/>
    <cellStyle name="Вывод 12" xfId="8007" xr:uid="{00000000-0005-0000-0000-000050140000}"/>
    <cellStyle name="Вывод 13" xfId="8008" xr:uid="{00000000-0005-0000-0000-000051140000}"/>
    <cellStyle name="Вывод 14" xfId="8009" xr:uid="{00000000-0005-0000-0000-000052140000}"/>
    <cellStyle name="Вывод 15" xfId="8010" xr:uid="{00000000-0005-0000-0000-000053140000}"/>
    <cellStyle name="Вывод 16" xfId="8011" xr:uid="{00000000-0005-0000-0000-000054140000}"/>
    <cellStyle name="Вывод 17" xfId="8012" xr:uid="{00000000-0005-0000-0000-000055140000}"/>
    <cellStyle name="Вывод 18" xfId="8013" xr:uid="{00000000-0005-0000-0000-000056140000}"/>
    <cellStyle name="Вывод 19" xfId="8014" xr:uid="{00000000-0005-0000-0000-000057140000}"/>
    <cellStyle name="Вывод 2" xfId="2243" xr:uid="{00000000-0005-0000-0000-000058140000}"/>
    <cellStyle name="Вывод 2 2" xfId="2244" xr:uid="{00000000-0005-0000-0000-000059140000}"/>
    <cellStyle name="Вывод 2 3" xfId="2245" xr:uid="{00000000-0005-0000-0000-00005A140000}"/>
    <cellStyle name="Вывод 2 4" xfId="2246" xr:uid="{00000000-0005-0000-0000-00005B140000}"/>
    <cellStyle name="Вывод 2 5" xfId="2247" xr:uid="{00000000-0005-0000-0000-00005C140000}"/>
    <cellStyle name="Вывод 2 6" xfId="2248" xr:uid="{00000000-0005-0000-0000-00005D140000}"/>
    <cellStyle name="Вывод 2 7" xfId="2249" xr:uid="{00000000-0005-0000-0000-00005E140000}"/>
    <cellStyle name="Вывод 2 8" xfId="2250" xr:uid="{00000000-0005-0000-0000-00005F140000}"/>
    <cellStyle name="Вывод 2 9" xfId="2251" xr:uid="{00000000-0005-0000-0000-000060140000}"/>
    <cellStyle name="Вывод 3" xfId="2252" xr:uid="{00000000-0005-0000-0000-000061140000}"/>
    <cellStyle name="Вывод 4" xfId="2253" xr:uid="{00000000-0005-0000-0000-000062140000}"/>
    <cellStyle name="Вывод 4 2" xfId="2254" xr:uid="{00000000-0005-0000-0000-000063140000}"/>
    <cellStyle name="Вывод 5" xfId="2255" xr:uid="{00000000-0005-0000-0000-000064140000}"/>
    <cellStyle name="Вывод 6" xfId="8015" xr:uid="{00000000-0005-0000-0000-000065140000}"/>
    <cellStyle name="Вывод 7" xfId="8016" xr:uid="{00000000-0005-0000-0000-000066140000}"/>
    <cellStyle name="Вывод 8" xfId="8017" xr:uid="{00000000-0005-0000-0000-000067140000}"/>
    <cellStyle name="Вывод 9" xfId="8018" xr:uid="{00000000-0005-0000-0000-000068140000}"/>
    <cellStyle name="Вычисление 10" xfId="8019" xr:uid="{00000000-0005-0000-0000-000069140000}"/>
    <cellStyle name="Вычисление 11" xfId="8020" xr:uid="{00000000-0005-0000-0000-00006A140000}"/>
    <cellStyle name="Вычисление 12" xfId="8021" xr:uid="{00000000-0005-0000-0000-00006B140000}"/>
    <cellStyle name="Вычисление 13" xfId="8022" xr:uid="{00000000-0005-0000-0000-00006C140000}"/>
    <cellStyle name="Вычисление 14" xfId="8023" xr:uid="{00000000-0005-0000-0000-00006D140000}"/>
    <cellStyle name="Вычисление 15" xfId="8024" xr:uid="{00000000-0005-0000-0000-00006E140000}"/>
    <cellStyle name="Вычисление 16" xfId="8025" xr:uid="{00000000-0005-0000-0000-00006F140000}"/>
    <cellStyle name="Вычисление 17" xfId="8026" xr:uid="{00000000-0005-0000-0000-000070140000}"/>
    <cellStyle name="Вычисление 18" xfId="8027" xr:uid="{00000000-0005-0000-0000-000071140000}"/>
    <cellStyle name="Вычисление 19" xfId="8028" xr:uid="{00000000-0005-0000-0000-000072140000}"/>
    <cellStyle name="Вычисление 2" xfId="2256" xr:uid="{00000000-0005-0000-0000-000073140000}"/>
    <cellStyle name="Вычисление 2 2" xfId="2257" xr:uid="{00000000-0005-0000-0000-000074140000}"/>
    <cellStyle name="Вычисление 2 3" xfId="2258" xr:uid="{00000000-0005-0000-0000-000075140000}"/>
    <cellStyle name="Вычисление 2 4" xfId="2259" xr:uid="{00000000-0005-0000-0000-000076140000}"/>
    <cellStyle name="Вычисление 2 5" xfId="2260" xr:uid="{00000000-0005-0000-0000-000077140000}"/>
    <cellStyle name="Вычисление 2 6" xfId="2261" xr:uid="{00000000-0005-0000-0000-000078140000}"/>
    <cellStyle name="Вычисление 2 7" xfId="2262" xr:uid="{00000000-0005-0000-0000-000079140000}"/>
    <cellStyle name="Вычисление 2 8" xfId="2263" xr:uid="{00000000-0005-0000-0000-00007A140000}"/>
    <cellStyle name="Вычисление 2 9" xfId="2264" xr:uid="{00000000-0005-0000-0000-00007B140000}"/>
    <cellStyle name="Вычисление 3" xfId="2265" xr:uid="{00000000-0005-0000-0000-00007C140000}"/>
    <cellStyle name="Вычисление 4" xfId="2266" xr:uid="{00000000-0005-0000-0000-00007D140000}"/>
    <cellStyle name="Вычисление 4 2" xfId="2267" xr:uid="{00000000-0005-0000-0000-00007E140000}"/>
    <cellStyle name="Вычисление 5" xfId="2268" xr:uid="{00000000-0005-0000-0000-00007F140000}"/>
    <cellStyle name="Вычисление 6" xfId="8029" xr:uid="{00000000-0005-0000-0000-000080140000}"/>
    <cellStyle name="Вычисление 7" xfId="8030" xr:uid="{00000000-0005-0000-0000-000081140000}"/>
    <cellStyle name="Вычисление 8" xfId="8031" xr:uid="{00000000-0005-0000-0000-000082140000}"/>
    <cellStyle name="Вычисление 9" xfId="8032" xr:uid="{00000000-0005-0000-0000-000083140000}"/>
    <cellStyle name="Гиперссылка 2" xfId="2269" xr:uid="{00000000-0005-0000-0000-000084140000}"/>
    <cellStyle name="Гиперссылка 2 2" xfId="2270" xr:uid="{00000000-0005-0000-0000-000085140000}"/>
    <cellStyle name="Гиперссылка 2 3" xfId="2271" xr:uid="{00000000-0005-0000-0000-000086140000}"/>
    <cellStyle name="Гиперссылка 2 4" xfId="2272" xr:uid="{00000000-0005-0000-0000-000087140000}"/>
    <cellStyle name="Гиперссылка 2 5" xfId="2273" xr:uid="{00000000-0005-0000-0000-000088140000}"/>
    <cellStyle name="Гиперссылка 2 6" xfId="2274" xr:uid="{00000000-0005-0000-0000-000089140000}"/>
    <cellStyle name="Гиперссылка 2 7" xfId="2275" xr:uid="{00000000-0005-0000-0000-00008A140000}"/>
    <cellStyle name="Гиперссылка 2 8" xfId="2276" xr:uid="{00000000-0005-0000-0000-00008B140000}"/>
    <cellStyle name="Гиперссылка 2 9" xfId="2277" xr:uid="{00000000-0005-0000-0000-00008C140000}"/>
    <cellStyle name="Гиперссылка 3" xfId="2278" xr:uid="{00000000-0005-0000-0000-00008D140000}"/>
    <cellStyle name="Гиперссылка 4" xfId="2279" xr:uid="{00000000-0005-0000-0000-00008E140000}"/>
    <cellStyle name="Гиперссылка 5" xfId="2280" xr:uid="{00000000-0005-0000-0000-00008F140000}"/>
    <cellStyle name="Гиперссылка 6" xfId="2281" xr:uid="{00000000-0005-0000-0000-000090140000}"/>
    <cellStyle name="Денежный 2" xfId="2282" xr:uid="{00000000-0005-0000-0000-000091140000}"/>
    <cellStyle name="Денежный 2 2" xfId="2283" xr:uid="{00000000-0005-0000-0000-000092140000}"/>
    <cellStyle name="Денежный 2 3" xfId="2284" xr:uid="{00000000-0005-0000-0000-000093140000}"/>
    <cellStyle name="Денежный 3" xfId="2285" xr:uid="{00000000-0005-0000-0000-000094140000}"/>
    <cellStyle name="Денежный 3 2" xfId="2286" xr:uid="{00000000-0005-0000-0000-000095140000}"/>
    <cellStyle name="Денежный 4" xfId="2287" xr:uid="{00000000-0005-0000-0000-000096140000}"/>
    <cellStyle name="Денежный 5" xfId="2288" xr:uid="{00000000-0005-0000-0000-000097140000}"/>
    <cellStyle name="Денежный 5 2" xfId="2289" xr:uid="{00000000-0005-0000-0000-000098140000}"/>
    <cellStyle name="Денежный 6" xfId="2290" xr:uid="{00000000-0005-0000-0000-000099140000}"/>
    <cellStyle name="Заголовок 1 10" xfId="8033" xr:uid="{00000000-0005-0000-0000-00009A140000}"/>
    <cellStyle name="Заголовок 1 11" xfId="8034" xr:uid="{00000000-0005-0000-0000-00009B140000}"/>
    <cellStyle name="Заголовок 1 12" xfId="8035" xr:uid="{00000000-0005-0000-0000-00009C140000}"/>
    <cellStyle name="Заголовок 1 13" xfId="8036" xr:uid="{00000000-0005-0000-0000-00009D140000}"/>
    <cellStyle name="Заголовок 1 14" xfId="8037" xr:uid="{00000000-0005-0000-0000-00009E140000}"/>
    <cellStyle name="Заголовок 1 15" xfId="8038" xr:uid="{00000000-0005-0000-0000-00009F140000}"/>
    <cellStyle name="Заголовок 1 16" xfId="8039" xr:uid="{00000000-0005-0000-0000-0000A0140000}"/>
    <cellStyle name="Заголовок 1 17" xfId="8040" xr:uid="{00000000-0005-0000-0000-0000A1140000}"/>
    <cellStyle name="Заголовок 1 18" xfId="8041" xr:uid="{00000000-0005-0000-0000-0000A2140000}"/>
    <cellStyle name="Заголовок 1 19" xfId="8042" xr:uid="{00000000-0005-0000-0000-0000A3140000}"/>
    <cellStyle name="Заголовок 1 2" xfId="2291" xr:uid="{00000000-0005-0000-0000-0000A4140000}"/>
    <cellStyle name="Заголовок 1 2 2" xfId="2292" xr:uid="{00000000-0005-0000-0000-0000A5140000}"/>
    <cellStyle name="Заголовок 1 2 3" xfId="2293" xr:uid="{00000000-0005-0000-0000-0000A6140000}"/>
    <cellStyle name="Заголовок 1 2 4" xfId="2294" xr:uid="{00000000-0005-0000-0000-0000A7140000}"/>
    <cellStyle name="Заголовок 1 2 5" xfId="2295" xr:uid="{00000000-0005-0000-0000-0000A8140000}"/>
    <cellStyle name="Заголовок 1 2 6" xfId="2296" xr:uid="{00000000-0005-0000-0000-0000A9140000}"/>
    <cellStyle name="Заголовок 1 2 7" xfId="2297" xr:uid="{00000000-0005-0000-0000-0000AA140000}"/>
    <cellStyle name="Заголовок 1 2 8" xfId="2298" xr:uid="{00000000-0005-0000-0000-0000AB140000}"/>
    <cellStyle name="Заголовок 1 2 9" xfId="2299" xr:uid="{00000000-0005-0000-0000-0000AC140000}"/>
    <cellStyle name="Заголовок 1 3" xfId="2300" xr:uid="{00000000-0005-0000-0000-0000AD140000}"/>
    <cellStyle name="Заголовок 1 4" xfId="2301" xr:uid="{00000000-0005-0000-0000-0000AE140000}"/>
    <cellStyle name="Заголовок 1 4 2" xfId="2302" xr:uid="{00000000-0005-0000-0000-0000AF140000}"/>
    <cellStyle name="Заголовок 1 5" xfId="2303" xr:uid="{00000000-0005-0000-0000-0000B0140000}"/>
    <cellStyle name="Заголовок 1 6" xfId="8043" xr:uid="{00000000-0005-0000-0000-0000B1140000}"/>
    <cellStyle name="Заголовок 1 7" xfId="8044" xr:uid="{00000000-0005-0000-0000-0000B2140000}"/>
    <cellStyle name="Заголовок 1 8" xfId="8045" xr:uid="{00000000-0005-0000-0000-0000B3140000}"/>
    <cellStyle name="Заголовок 1 9" xfId="8046" xr:uid="{00000000-0005-0000-0000-0000B4140000}"/>
    <cellStyle name="Заголовок 2 10" xfId="8047" xr:uid="{00000000-0005-0000-0000-0000B5140000}"/>
    <cellStyle name="Заголовок 2 11" xfId="8048" xr:uid="{00000000-0005-0000-0000-0000B6140000}"/>
    <cellStyle name="Заголовок 2 12" xfId="8049" xr:uid="{00000000-0005-0000-0000-0000B7140000}"/>
    <cellStyle name="Заголовок 2 13" xfId="8050" xr:uid="{00000000-0005-0000-0000-0000B8140000}"/>
    <cellStyle name="Заголовок 2 14" xfId="8051" xr:uid="{00000000-0005-0000-0000-0000B9140000}"/>
    <cellStyle name="Заголовок 2 15" xfId="8052" xr:uid="{00000000-0005-0000-0000-0000BA140000}"/>
    <cellStyle name="Заголовок 2 16" xfId="8053" xr:uid="{00000000-0005-0000-0000-0000BB140000}"/>
    <cellStyle name="Заголовок 2 17" xfId="8054" xr:uid="{00000000-0005-0000-0000-0000BC140000}"/>
    <cellStyle name="Заголовок 2 18" xfId="8055" xr:uid="{00000000-0005-0000-0000-0000BD140000}"/>
    <cellStyle name="Заголовок 2 19" xfId="8056" xr:uid="{00000000-0005-0000-0000-0000BE140000}"/>
    <cellStyle name="Заголовок 2 2" xfId="2304" xr:uid="{00000000-0005-0000-0000-0000BF140000}"/>
    <cellStyle name="Заголовок 2 2 2" xfId="2305" xr:uid="{00000000-0005-0000-0000-0000C0140000}"/>
    <cellStyle name="Заголовок 2 2 3" xfId="2306" xr:uid="{00000000-0005-0000-0000-0000C1140000}"/>
    <cellStyle name="Заголовок 2 2 4" xfId="2307" xr:uid="{00000000-0005-0000-0000-0000C2140000}"/>
    <cellStyle name="Заголовок 2 2 5" xfId="2308" xr:uid="{00000000-0005-0000-0000-0000C3140000}"/>
    <cellStyle name="Заголовок 2 2 6" xfId="2309" xr:uid="{00000000-0005-0000-0000-0000C4140000}"/>
    <cellStyle name="Заголовок 2 2 7" xfId="2310" xr:uid="{00000000-0005-0000-0000-0000C5140000}"/>
    <cellStyle name="Заголовок 2 2 8" xfId="2311" xr:uid="{00000000-0005-0000-0000-0000C6140000}"/>
    <cellStyle name="Заголовок 2 2 9" xfId="2312" xr:uid="{00000000-0005-0000-0000-0000C7140000}"/>
    <cellStyle name="Заголовок 2 3" xfId="2313" xr:uid="{00000000-0005-0000-0000-0000C8140000}"/>
    <cellStyle name="Заголовок 2 4" xfId="2314" xr:uid="{00000000-0005-0000-0000-0000C9140000}"/>
    <cellStyle name="Заголовок 2 4 2" xfId="2315" xr:uid="{00000000-0005-0000-0000-0000CA140000}"/>
    <cellStyle name="Заголовок 2 5" xfId="2316" xr:uid="{00000000-0005-0000-0000-0000CB140000}"/>
    <cellStyle name="Заголовок 2 6" xfId="8057" xr:uid="{00000000-0005-0000-0000-0000CC140000}"/>
    <cellStyle name="Заголовок 2 7" xfId="8058" xr:uid="{00000000-0005-0000-0000-0000CD140000}"/>
    <cellStyle name="Заголовок 2 8" xfId="8059" xr:uid="{00000000-0005-0000-0000-0000CE140000}"/>
    <cellStyle name="Заголовок 2 9" xfId="8060" xr:uid="{00000000-0005-0000-0000-0000CF140000}"/>
    <cellStyle name="Заголовок 3 10" xfId="8061" xr:uid="{00000000-0005-0000-0000-0000D0140000}"/>
    <cellStyle name="Заголовок 3 11" xfId="8062" xr:uid="{00000000-0005-0000-0000-0000D1140000}"/>
    <cellStyle name="Заголовок 3 12" xfId="8063" xr:uid="{00000000-0005-0000-0000-0000D2140000}"/>
    <cellStyle name="Заголовок 3 13" xfId="8064" xr:uid="{00000000-0005-0000-0000-0000D3140000}"/>
    <cellStyle name="Заголовок 3 14" xfId="8065" xr:uid="{00000000-0005-0000-0000-0000D4140000}"/>
    <cellStyle name="Заголовок 3 15" xfId="8066" xr:uid="{00000000-0005-0000-0000-0000D5140000}"/>
    <cellStyle name="Заголовок 3 16" xfId="8067" xr:uid="{00000000-0005-0000-0000-0000D6140000}"/>
    <cellStyle name="Заголовок 3 17" xfId="8068" xr:uid="{00000000-0005-0000-0000-0000D7140000}"/>
    <cellStyle name="Заголовок 3 18" xfId="8069" xr:uid="{00000000-0005-0000-0000-0000D8140000}"/>
    <cellStyle name="Заголовок 3 19" xfId="8070" xr:uid="{00000000-0005-0000-0000-0000D9140000}"/>
    <cellStyle name="Заголовок 3 2" xfId="2317" xr:uid="{00000000-0005-0000-0000-0000DA140000}"/>
    <cellStyle name="Заголовок 3 2 2" xfId="2318" xr:uid="{00000000-0005-0000-0000-0000DB140000}"/>
    <cellStyle name="Заголовок 3 2 3" xfId="2319" xr:uid="{00000000-0005-0000-0000-0000DC140000}"/>
    <cellStyle name="Заголовок 3 2 4" xfId="2320" xr:uid="{00000000-0005-0000-0000-0000DD140000}"/>
    <cellStyle name="Заголовок 3 2 5" xfId="2321" xr:uid="{00000000-0005-0000-0000-0000DE140000}"/>
    <cellStyle name="Заголовок 3 2 6" xfId="2322" xr:uid="{00000000-0005-0000-0000-0000DF140000}"/>
    <cellStyle name="Заголовок 3 2 7" xfId="2323" xr:uid="{00000000-0005-0000-0000-0000E0140000}"/>
    <cellStyle name="Заголовок 3 2 8" xfId="2324" xr:uid="{00000000-0005-0000-0000-0000E1140000}"/>
    <cellStyle name="Заголовок 3 2 9" xfId="2325" xr:uid="{00000000-0005-0000-0000-0000E2140000}"/>
    <cellStyle name="Заголовок 3 3" xfId="2326" xr:uid="{00000000-0005-0000-0000-0000E3140000}"/>
    <cellStyle name="Заголовок 3 4" xfId="2327" xr:uid="{00000000-0005-0000-0000-0000E4140000}"/>
    <cellStyle name="Заголовок 3 4 2" xfId="2328" xr:uid="{00000000-0005-0000-0000-0000E5140000}"/>
    <cellStyle name="Заголовок 3 5" xfId="2329" xr:uid="{00000000-0005-0000-0000-0000E6140000}"/>
    <cellStyle name="Заголовок 3 6" xfId="8071" xr:uid="{00000000-0005-0000-0000-0000E7140000}"/>
    <cellStyle name="Заголовок 3 7" xfId="8072" xr:uid="{00000000-0005-0000-0000-0000E8140000}"/>
    <cellStyle name="Заголовок 3 8" xfId="8073" xr:uid="{00000000-0005-0000-0000-0000E9140000}"/>
    <cellStyle name="Заголовок 3 9" xfId="8074" xr:uid="{00000000-0005-0000-0000-0000EA140000}"/>
    <cellStyle name="Заголовок 4 10" xfId="8075" xr:uid="{00000000-0005-0000-0000-0000EB140000}"/>
    <cellStyle name="Заголовок 4 11" xfId="8076" xr:uid="{00000000-0005-0000-0000-0000EC140000}"/>
    <cellStyle name="Заголовок 4 12" xfId="8077" xr:uid="{00000000-0005-0000-0000-0000ED140000}"/>
    <cellStyle name="Заголовок 4 13" xfId="8078" xr:uid="{00000000-0005-0000-0000-0000EE140000}"/>
    <cellStyle name="Заголовок 4 14" xfId="8079" xr:uid="{00000000-0005-0000-0000-0000EF140000}"/>
    <cellStyle name="Заголовок 4 15" xfId="8080" xr:uid="{00000000-0005-0000-0000-0000F0140000}"/>
    <cellStyle name="Заголовок 4 16" xfId="8081" xr:uid="{00000000-0005-0000-0000-0000F1140000}"/>
    <cellStyle name="Заголовок 4 17" xfId="8082" xr:uid="{00000000-0005-0000-0000-0000F2140000}"/>
    <cellStyle name="Заголовок 4 18" xfId="8083" xr:uid="{00000000-0005-0000-0000-0000F3140000}"/>
    <cellStyle name="Заголовок 4 19" xfId="8084" xr:uid="{00000000-0005-0000-0000-0000F4140000}"/>
    <cellStyle name="Заголовок 4 2" xfId="2330" xr:uid="{00000000-0005-0000-0000-0000F5140000}"/>
    <cellStyle name="Заголовок 4 2 2" xfId="2331" xr:uid="{00000000-0005-0000-0000-0000F6140000}"/>
    <cellStyle name="Заголовок 4 2 3" xfId="2332" xr:uid="{00000000-0005-0000-0000-0000F7140000}"/>
    <cellStyle name="Заголовок 4 2 4" xfId="2333" xr:uid="{00000000-0005-0000-0000-0000F8140000}"/>
    <cellStyle name="Заголовок 4 2 5" xfId="2334" xr:uid="{00000000-0005-0000-0000-0000F9140000}"/>
    <cellStyle name="Заголовок 4 2 6" xfId="2335" xr:uid="{00000000-0005-0000-0000-0000FA140000}"/>
    <cellStyle name="Заголовок 4 2 7" xfId="2336" xr:uid="{00000000-0005-0000-0000-0000FB140000}"/>
    <cellStyle name="Заголовок 4 2 8" xfId="2337" xr:uid="{00000000-0005-0000-0000-0000FC140000}"/>
    <cellStyle name="Заголовок 4 2 9" xfId="2338" xr:uid="{00000000-0005-0000-0000-0000FD140000}"/>
    <cellStyle name="Заголовок 4 3" xfId="2339" xr:uid="{00000000-0005-0000-0000-0000FE140000}"/>
    <cellStyle name="Заголовок 4 4" xfId="2340" xr:uid="{00000000-0005-0000-0000-0000FF140000}"/>
    <cellStyle name="Заголовок 4 4 2" xfId="2341" xr:uid="{00000000-0005-0000-0000-000000150000}"/>
    <cellStyle name="Заголовок 4 5" xfId="2342" xr:uid="{00000000-0005-0000-0000-000001150000}"/>
    <cellStyle name="Заголовок 4 6" xfId="8085" xr:uid="{00000000-0005-0000-0000-000002150000}"/>
    <cellStyle name="Заголовок 4 7" xfId="8086" xr:uid="{00000000-0005-0000-0000-000003150000}"/>
    <cellStyle name="Заголовок 4 8" xfId="8087" xr:uid="{00000000-0005-0000-0000-000004150000}"/>
    <cellStyle name="Заголовок 4 9" xfId="8088" xr:uid="{00000000-0005-0000-0000-000005150000}"/>
    <cellStyle name="Звичайний 2" xfId="2343" xr:uid="{00000000-0005-0000-0000-000006150000}"/>
    <cellStyle name="Итог 10" xfId="8089" xr:uid="{00000000-0005-0000-0000-000007150000}"/>
    <cellStyle name="Итог 11" xfId="8090" xr:uid="{00000000-0005-0000-0000-000008150000}"/>
    <cellStyle name="Итог 12" xfId="8091" xr:uid="{00000000-0005-0000-0000-000009150000}"/>
    <cellStyle name="Итог 13" xfId="8092" xr:uid="{00000000-0005-0000-0000-00000A150000}"/>
    <cellStyle name="Итог 14" xfId="8093" xr:uid="{00000000-0005-0000-0000-00000B150000}"/>
    <cellStyle name="Итог 15" xfId="8094" xr:uid="{00000000-0005-0000-0000-00000C150000}"/>
    <cellStyle name="Итог 16" xfId="8095" xr:uid="{00000000-0005-0000-0000-00000D150000}"/>
    <cellStyle name="Итог 17" xfId="8096" xr:uid="{00000000-0005-0000-0000-00000E150000}"/>
    <cellStyle name="Итог 18" xfId="8097" xr:uid="{00000000-0005-0000-0000-00000F150000}"/>
    <cellStyle name="Итог 19" xfId="8098" xr:uid="{00000000-0005-0000-0000-000010150000}"/>
    <cellStyle name="Итог 2" xfId="2344" xr:uid="{00000000-0005-0000-0000-000011150000}"/>
    <cellStyle name="Итог 2 2" xfId="2345" xr:uid="{00000000-0005-0000-0000-000012150000}"/>
    <cellStyle name="Итог 2 3" xfId="2346" xr:uid="{00000000-0005-0000-0000-000013150000}"/>
    <cellStyle name="Итог 2 4" xfId="2347" xr:uid="{00000000-0005-0000-0000-000014150000}"/>
    <cellStyle name="Итог 2 5" xfId="2348" xr:uid="{00000000-0005-0000-0000-000015150000}"/>
    <cellStyle name="Итог 2 6" xfId="2349" xr:uid="{00000000-0005-0000-0000-000016150000}"/>
    <cellStyle name="Итог 2 7" xfId="2350" xr:uid="{00000000-0005-0000-0000-000017150000}"/>
    <cellStyle name="Итог 2 8" xfId="2351" xr:uid="{00000000-0005-0000-0000-000018150000}"/>
    <cellStyle name="Итог 2 9" xfId="2352" xr:uid="{00000000-0005-0000-0000-000019150000}"/>
    <cellStyle name="Итог 3" xfId="2353" xr:uid="{00000000-0005-0000-0000-00001A150000}"/>
    <cellStyle name="Итог 4" xfId="2354" xr:uid="{00000000-0005-0000-0000-00001B150000}"/>
    <cellStyle name="Итог 4 2" xfId="2355" xr:uid="{00000000-0005-0000-0000-00001C150000}"/>
    <cellStyle name="Итог 5" xfId="2356" xr:uid="{00000000-0005-0000-0000-00001D150000}"/>
    <cellStyle name="Итог 6" xfId="8099" xr:uid="{00000000-0005-0000-0000-00001E150000}"/>
    <cellStyle name="Итог 7" xfId="8100" xr:uid="{00000000-0005-0000-0000-00001F150000}"/>
    <cellStyle name="Итог 8" xfId="8101" xr:uid="{00000000-0005-0000-0000-000020150000}"/>
    <cellStyle name="Итог 9" xfId="8102" xr:uid="{00000000-0005-0000-0000-000021150000}"/>
    <cellStyle name="Контрольная ячейка 2" xfId="2357" xr:uid="{00000000-0005-0000-0000-000022150000}"/>
    <cellStyle name="Контрольная ячейка 2 2" xfId="2358" xr:uid="{00000000-0005-0000-0000-000023150000}"/>
    <cellStyle name="Контрольная ячейка 2 3" xfId="2359" xr:uid="{00000000-0005-0000-0000-000024150000}"/>
    <cellStyle name="Контрольная ячейка 2 4" xfId="2360" xr:uid="{00000000-0005-0000-0000-000025150000}"/>
    <cellStyle name="Контрольная ячейка 2 5" xfId="2361" xr:uid="{00000000-0005-0000-0000-000026150000}"/>
    <cellStyle name="Контрольная ячейка 2 6" xfId="2362" xr:uid="{00000000-0005-0000-0000-000027150000}"/>
    <cellStyle name="Контрольная ячейка 2 7" xfId="2363" xr:uid="{00000000-0005-0000-0000-000028150000}"/>
    <cellStyle name="Контрольная ячейка 2 8" xfId="2364" xr:uid="{00000000-0005-0000-0000-000029150000}"/>
    <cellStyle name="Контрольная ячейка 2 9" xfId="2365" xr:uid="{00000000-0005-0000-0000-00002A150000}"/>
    <cellStyle name="Контрольная ячейка 3" xfId="2366" xr:uid="{00000000-0005-0000-0000-00002B150000}"/>
    <cellStyle name="Название 10" xfId="8103" xr:uid="{00000000-0005-0000-0000-00002C150000}"/>
    <cellStyle name="Название 11" xfId="8104" xr:uid="{00000000-0005-0000-0000-00002D150000}"/>
    <cellStyle name="Название 12" xfId="8105" xr:uid="{00000000-0005-0000-0000-00002E150000}"/>
    <cellStyle name="Название 13" xfId="8106" xr:uid="{00000000-0005-0000-0000-00002F150000}"/>
    <cellStyle name="Название 14" xfId="8107" xr:uid="{00000000-0005-0000-0000-000030150000}"/>
    <cellStyle name="Название 15" xfId="8108" xr:uid="{00000000-0005-0000-0000-000031150000}"/>
    <cellStyle name="Название 16" xfId="8109" xr:uid="{00000000-0005-0000-0000-000032150000}"/>
    <cellStyle name="Название 17" xfId="8110" xr:uid="{00000000-0005-0000-0000-000033150000}"/>
    <cellStyle name="Название 18" xfId="8111" xr:uid="{00000000-0005-0000-0000-000034150000}"/>
    <cellStyle name="Название 19" xfId="8112" xr:uid="{00000000-0005-0000-0000-000035150000}"/>
    <cellStyle name="Название 2" xfId="2367" xr:uid="{00000000-0005-0000-0000-000036150000}"/>
    <cellStyle name="Название 2 2" xfId="2368" xr:uid="{00000000-0005-0000-0000-000037150000}"/>
    <cellStyle name="Название 2 3" xfId="2369" xr:uid="{00000000-0005-0000-0000-000038150000}"/>
    <cellStyle name="Название 2 4" xfId="2370" xr:uid="{00000000-0005-0000-0000-000039150000}"/>
    <cellStyle name="Название 2 5" xfId="2371" xr:uid="{00000000-0005-0000-0000-00003A150000}"/>
    <cellStyle name="Название 2 6" xfId="2372" xr:uid="{00000000-0005-0000-0000-00003B150000}"/>
    <cellStyle name="Название 2 7" xfId="2373" xr:uid="{00000000-0005-0000-0000-00003C150000}"/>
    <cellStyle name="Название 2 8" xfId="2374" xr:uid="{00000000-0005-0000-0000-00003D150000}"/>
    <cellStyle name="Название 2 9" xfId="2375" xr:uid="{00000000-0005-0000-0000-00003E150000}"/>
    <cellStyle name="Название 3" xfId="2376" xr:uid="{00000000-0005-0000-0000-00003F150000}"/>
    <cellStyle name="Название 4" xfId="2377" xr:uid="{00000000-0005-0000-0000-000040150000}"/>
    <cellStyle name="Название 4 2" xfId="2378" xr:uid="{00000000-0005-0000-0000-000041150000}"/>
    <cellStyle name="Название 5" xfId="2379" xr:uid="{00000000-0005-0000-0000-000042150000}"/>
    <cellStyle name="Название 6" xfId="8113" xr:uid="{00000000-0005-0000-0000-000043150000}"/>
    <cellStyle name="Название 7" xfId="8114" xr:uid="{00000000-0005-0000-0000-000044150000}"/>
    <cellStyle name="Название 8" xfId="8115" xr:uid="{00000000-0005-0000-0000-000045150000}"/>
    <cellStyle name="Название 9" xfId="8116" xr:uid="{00000000-0005-0000-0000-000046150000}"/>
    <cellStyle name="Нейтральный 2" xfId="2380" xr:uid="{00000000-0005-0000-0000-000047150000}"/>
    <cellStyle name="Нейтральный 2 2" xfId="2381" xr:uid="{00000000-0005-0000-0000-000048150000}"/>
    <cellStyle name="Нейтральный 2 3" xfId="2382" xr:uid="{00000000-0005-0000-0000-000049150000}"/>
    <cellStyle name="Нейтральный 2 4" xfId="2383" xr:uid="{00000000-0005-0000-0000-00004A150000}"/>
    <cellStyle name="Нейтральный 2 5" xfId="2384" xr:uid="{00000000-0005-0000-0000-00004B150000}"/>
    <cellStyle name="Нейтральный 2 6" xfId="2385" xr:uid="{00000000-0005-0000-0000-00004C150000}"/>
    <cellStyle name="Нейтральный 2 7" xfId="2386" xr:uid="{00000000-0005-0000-0000-00004D150000}"/>
    <cellStyle name="Нейтральный 2 8" xfId="2387" xr:uid="{00000000-0005-0000-0000-00004E150000}"/>
    <cellStyle name="Нейтральный 2 9" xfId="2388" xr:uid="{00000000-0005-0000-0000-00004F150000}"/>
    <cellStyle name="Нейтральный 3" xfId="2389" xr:uid="{00000000-0005-0000-0000-000050150000}"/>
    <cellStyle name="Обычный" xfId="0" builtinId="0"/>
    <cellStyle name="Обычный 10" xfId="2390" xr:uid="{00000000-0005-0000-0000-000052150000}"/>
    <cellStyle name="Обычный 10 10" xfId="2391" xr:uid="{00000000-0005-0000-0000-000053150000}"/>
    <cellStyle name="Обычный 10 11" xfId="2392" xr:uid="{00000000-0005-0000-0000-000054150000}"/>
    <cellStyle name="Обычный 10 11 2" xfId="2393" xr:uid="{00000000-0005-0000-0000-000055150000}"/>
    <cellStyle name="Обычный 10 11 3" xfId="2394" xr:uid="{00000000-0005-0000-0000-000056150000}"/>
    <cellStyle name="Обычный 10 11 4" xfId="2395" xr:uid="{00000000-0005-0000-0000-000057150000}"/>
    <cellStyle name="Обычный 10 11 5" xfId="2396" xr:uid="{00000000-0005-0000-0000-000058150000}"/>
    <cellStyle name="Обычный 10 11 6" xfId="2397" xr:uid="{00000000-0005-0000-0000-000059150000}"/>
    <cellStyle name="Обычный 10 11 7" xfId="2398" xr:uid="{00000000-0005-0000-0000-00005A150000}"/>
    <cellStyle name="Обычный 10 12" xfId="2399" xr:uid="{00000000-0005-0000-0000-00005B150000}"/>
    <cellStyle name="Обычный 10 12 2" xfId="2400" xr:uid="{00000000-0005-0000-0000-00005C150000}"/>
    <cellStyle name="Обычный 10 12 3" xfId="2401" xr:uid="{00000000-0005-0000-0000-00005D150000}"/>
    <cellStyle name="Обычный 10 12 4" xfId="2402" xr:uid="{00000000-0005-0000-0000-00005E150000}"/>
    <cellStyle name="Обычный 10 12 5" xfId="2403" xr:uid="{00000000-0005-0000-0000-00005F150000}"/>
    <cellStyle name="Обычный 10 12 6" xfId="2404" xr:uid="{00000000-0005-0000-0000-000060150000}"/>
    <cellStyle name="Обычный 10 12 7" xfId="2405" xr:uid="{00000000-0005-0000-0000-000061150000}"/>
    <cellStyle name="Обычный 10 13" xfId="2406" xr:uid="{00000000-0005-0000-0000-000062150000}"/>
    <cellStyle name="Обычный 10 14" xfId="2407" xr:uid="{00000000-0005-0000-0000-000063150000}"/>
    <cellStyle name="Обычный 10 15" xfId="2408" xr:uid="{00000000-0005-0000-0000-000064150000}"/>
    <cellStyle name="Обычный 10 16" xfId="2409" xr:uid="{00000000-0005-0000-0000-000065150000}"/>
    <cellStyle name="Обычный 10 17" xfId="2410" xr:uid="{00000000-0005-0000-0000-000066150000}"/>
    <cellStyle name="Обычный 10 18" xfId="2411" xr:uid="{00000000-0005-0000-0000-000067150000}"/>
    <cellStyle name="Обычный 10 2" xfId="2412" xr:uid="{00000000-0005-0000-0000-000068150000}"/>
    <cellStyle name="Обычный 10 2 10" xfId="2413" xr:uid="{00000000-0005-0000-0000-000069150000}"/>
    <cellStyle name="Обычный 10 2 11" xfId="2414" xr:uid="{00000000-0005-0000-0000-00006A150000}"/>
    <cellStyle name="Обычный 10 2 12" xfId="2415" xr:uid="{00000000-0005-0000-0000-00006B150000}"/>
    <cellStyle name="Обычный 10 2 2" xfId="2416" xr:uid="{00000000-0005-0000-0000-00006C150000}"/>
    <cellStyle name="Обычный 10 2 2 2" xfId="2417" xr:uid="{00000000-0005-0000-0000-00006D150000}"/>
    <cellStyle name="Обычный 10 2 2 3" xfId="2418" xr:uid="{00000000-0005-0000-0000-00006E150000}"/>
    <cellStyle name="Обычный 10 2 2 4" xfId="2419" xr:uid="{00000000-0005-0000-0000-00006F150000}"/>
    <cellStyle name="Обычный 10 2 2 5" xfId="2420" xr:uid="{00000000-0005-0000-0000-000070150000}"/>
    <cellStyle name="Обычный 10 2 2 6" xfId="2421" xr:uid="{00000000-0005-0000-0000-000071150000}"/>
    <cellStyle name="Обычный 10 2 3" xfId="2422" xr:uid="{00000000-0005-0000-0000-000072150000}"/>
    <cellStyle name="Обычный 10 2 3 2" xfId="2423" xr:uid="{00000000-0005-0000-0000-000073150000}"/>
    <cellStyle name="Обычный 10 2 3 2 2" xfId="2424" xr:uid="{00000000-0005-0000-0000-000074150000}"/>
    <cellStyle name="Обычный 10 2 3 2 3" xfId="2425" xr:uid="{00000000-0005-0000-0000-000075150000}"/>
    <cellStyle name="Обычный 10 2 3 2 4" xfId="2426" xr:uid="{00000000-0005-0000-0000-000076150000}"/>
    <cellStyle name="Обычный 10 2 3 2 5" xfId="2427" xr:uid="{00000000-0005-0000-0000-000077150000}"/>
    <cellStyle name="Обычный 10 2 3 2 6" xfId="2428" xr:uid="{00000000-0005-0000-0000-000078150000}"/>
    <cellStyle name="Обычный 10 2 3 2 7" xfId="2429" xr:uid="{00000000-0005-0000-0000-000079150000}"/>
    <cellStyle name="Обычный 10 2 3 3" xfId="2430" xr:uid="{00000000-0005-0000-0000-00007A150000}"/>
    <cellStyle name="Обычный 10 2 3 4" xfId="2431" xr:uid="{00000000-0005-0000-0000-00007B150000}"/>
    <cellStyle name="Обычный 10 2 3 5" xfId="2432" xr:uid="{00000000-0005-0000-0000-00007C150000}"/>
    <cellStyle name="Обычный 10 2 3 6" xfId="2433" xr:uid="{00000000-0005-0000-0000-00007D150000}"/>
    <cellStyle name="Обычный 10 2 3 7" xfId="2434" xr:uid="{00000000-0005-0000-0000-00007E150000}"/>
    <cellStyle name="Обычный 10 2 3 8" xfId="2435" xr:uid="{00000000-0005-0000-0000-00007F150000}"/>
    <cellStyle name="Обычный 10 2 4" xfId="2436" xr:uid="{00000000-0005-0000-0000-000080150000}"/>
    <cellStyle name="Обычный 10 2 5" xfId="2437" xr:uid="{00000000-0005-0000-0000-000081150000}"/>
    <cellStyle name="Обычный 10 2 6" xfId="2438" xr:uid="{00000000-0005-0000-0000-000082150000}"/>
    <cellStyle name="Обычный 10 2 7" xfId="2439" xr:uid="{00000000-0005-0000-0000-000083150000}"/>
    <cellStyle name="Обычный 10 2 8" xfId="2440" xr:uid="{00000000-0005-0000-0000-000084150000}"/>
    <cellStyle name="Обычный 10 2 9" xfId="2441" xr:uid="{00000000-0005-0000-0000-000085150000}"/>
    <cellStyle name="Обычный 10 3" xfId="2442" xr:uid="{00000000-0005-0000-0000-000086150000}"/>
    <cellStyle name="Обычный 10 3 2" xfId="2443" xr:uid="{00000000-0005-0000-0000-000087150000}"/>
    <cellStyle name="Обычный 10 3 2 2" xfId="2444" xr:uid="{00000000-0005-0000-0000-000088150000}"/>
    <cellStyle name="Обычный 10 3 2 2 2" xfId="2445" xr:uid="{00000000-0005-0000-0000-000089150000}"/>
    <cellStyle name="Обычный 10 3 2 2 3" xfId="2446" xr:uid="{00000000-0005-0000-0000-00008A150000}"/>
    <cellStyle name="Обычный 10 3 2 2 4" xfId="2447" xr:uid="{00000000-0005-0000-0000-00008B150000}"/>
    <cellStyle name="Обычный 10 3 2 2 5" xfId="2448" xr:uid="{00000000-0005-0000-0000-00008C150000}"/>
    <cellStyle name="Обычный 10 3 2 2 6" xfId="2449" xr:uid="{00000000-0005-0000-0000-00008D150000}"/>
    <cellStyle name="Обычный 10 3 2 2 7" xfId="2450" xr:uid="{00000000-0005-0000-0000-00008E150000}"/>
    <cellStyle name="Обычный 10 3 2 3" xfId="2451" xr:uid="{00000000-0005-0000-0000-00008F150000}"/>
    <cellStyle name="Обычный 10 3 2 4" xfId="2452" xr:uid="{00000000-0005-0000-0000-000090150000}"/>
    <cellStyle name="Обычный 10 3 2 5" xfId="2453" xr:uid="{00000000-0005-0000-0000-000091150000}"/>
    <cellStyle name="Обычный 10 3 2 6" xfId="2454" xr:uid="{00000000-0005-0000-0000-000092150000}"/>
    <cellStyle name="Обычный 10 3 2 7" xfId="2455" xr:uid="{00000000-0005-0000-0000-000093150000}"/>
    <cellStyle name="Обычный 10 3 2 8" xfId="2456" xr:uid="{00000000-0005-0000-0000-000094150000}"/>
    <cellStyle name="Обычный 10 4" xfId="2457" xr:uid="{00000000-0005-0000-0000-000095150000}"/>
    <cellStyle name="Обычный 10 4 2" xfId="2458" xr:uid="{00000000-0005-0000-0000-000096150000}"/>
    <cellStyle name="Обычный 10 4 2 2" xfId="2459" xr:uid="{00000000-0005-0000-0000-000097150000}"/>
    <cellStyle name="Обычный 10 4 2 3" xfId="2460" xr:uid="{00000000-0005-0000-0000-000098150000}"/>
    <cellStyle name="Обычный 10 4 2 4" xfId="2461" xr:uid="{00000000-0005-0000-0000-000099150000}"/>
    <cellStyle name="Обычный 10 4 2 5" xfId="2462" xr:uid="{00000000-0005-0000-0000-00009A150000}"/>
    <cellStyle name="Обычный 10 4 2 6" xfId="2463" xr:uid="{00000000-0005-0000-0000-00009B150000}"/>
    <cellStyle name="Обычный 10 4 2 7" xfId="2464" xr:uid="{00000000-0005-0000-0000-00009C150000}"/>
    <cellStyle name="Обычный 10 4 3" xfId="2465" xr:uid="{00000000-0005-0000-0000-00009D150000}"/>
    <cellStyle name="Обычный 10 4 4" xfId="2466" xr:uid="{00000000-0005-0000-0000-00009E150000}"/>
    <cellStyle name="Обычный 10 4 5" xfId="2467" xr:uid="{00000000-0005-0000-0000-00009F150000}"/>
    <cellStyle name="Обычный 10 4 6" xfId="2468" xr:uid="{00000000-0005-0000-0000-0000A0150000}"/>
    <cellStyle name="Обычный 10 4 7" xfId="2469" xr:uid="{00000000-0005-0000-0000-0000A1150000}"/>
    <cellStyle name="Обычный 10 4 8" xfId="2470" xr:uid="{00000000-0005-0000-0000-0000A2150000}"/>
    <cellStyle name="Обычный 10 5" xfId="2471" xr:uid="{00000000-0005-0000-0000-0000A3150000}"/>
    <cellStyle name="Обычный 10 5 2" xfId="2472" xr:uid="{00000000-0005-0000-0000-0000A4150000}"/>
    <cellStyle name="Обычный 10 5 2 2" xfId="2473" xr:uid="{00000000-0005-0000-0000-0000A5150000}"/>
    <cellStyle name="Обычный 10 5 2 3" xfId="2474" xr:uid="{00000000-0005-0000-0000-0000A6150000}"/>
    <cellStyle name="Обычный 10 5 2 4" xfId="2475" xr:uid="{00000000-0005-0000-0000-0000A7150000}"/>
    <cellStyle name="Обычный 10 5 2 5" xfId="2476" xr:uid="{00000000-0005-0000-0000-0000A8150000}"/>
    <cellStyle name="Обычный 10 5 2 6" xfId="2477" xr:uid="{00000000-0005-0000-0000-0000A9150000}"/>
    <cellStyle name="Обычный 10 5 2 7" xfId="2478" xr:uid="{00000000-0005-0000-0000-0000AA150000}"/>
    <cellStyle name="Обычный 10 5 3" xfId="2479" xr:uid="{00000000-0005-0000-0000-0000AB150000}"/>
    <cellStyle name="Обычный 10 5 4" xfId="2480" xr:uid="{00000000-0005-0000-0000-0000AC150000}"/>
    <cellStyle name="Обычный 10 5 5" xfId="2481" xr:uid="{00000000-0005-0000-0000-0000AD150000}"/>
    <cellStyle name="Обычный 10 5 6" xfId="2482" xr:uid="{00000000-0005-0000-0000-0000AE150000}"/>
    <cellStyle name="Обычный 10 5 7" xfId="2483" xr:uid="{00000000-0005-0000-0000-0000AF150000}"/>
    <cellStyle name="Обычный 10 5 8" xfId="2484" xr:uid="{00000000-0005-0000-0000-0000B0150000}"/>
    <cellStyle name="Обычный 10 6" xfId="2485" xr:uid="{00000000-0005-0000-0000-0000B1150000}"/>
    <cellStyle name="Обычный 10 7" xfId="2486" xr:uid="{00000000-0005-0000-0000-0000B2150000}"/>
    <cellStyle name="Обычный 10 8" xfId="2487" xr:uid="{00000000-0005-0000-0000-0000B3150000}"/>
    <cellStyle name="Обычный 10 9" xfId="2488" xr:uid="{00000000-0005-0000-0000-0000B4150000}"/>
    <cellStyle name="Обычный 11" xfId="2489" xr:uid="{00000000-0005-0000-0000-0000B5150000}"/>
    <cellStyle name="Обычный 11 10" xfId="2490" xr:uid="{00000000-0005-0000-0000-0000B6150000}"/>
    <cellStyle name="Обычный 11 11" xfId="2491" xr:uid="{00000000-0005-0000-0000-0000B7150000}"/>
    <cellStyle name="Обычный 11 12" xfId="2492" xr:uid="{00000000-0005-0000-0000-0000B8150000}"/>
    <cellStyle name="Обычный 11 13" xfId="2493" xr:uid="{00000000-0005-0000-0000-0000B9150000}"/>
    <cellStyle name="Обычный 11 14" xfId="2494" xr:uid="{00000000-0005-0000-0000-0000BA150000}"/>
    <cellStyle name="Обычный 11 2" xfId="2495" xr:uid="{00000000-0005-0000-0000-0000BB150000}"/>
    <cellStyle name="Обычный 11 2 2" xfId="2496" xr:uid="{00000000-0005-0000-0000-0000BC150000}"/>
    <cellStyle name="Обычный 11 2 2 2" xfId="2497" xr:uid="{00000000-0005-0000-0000-0000BD150000}"/>
    <cellStyle name="Обычный 11 2 2 3" xfId="2498" xr:uid="{00000000-0005-0000-0000-0000BE150000}"/>
    <cellStyle name="Обычный 11 2 2 4" xfId="2499" xr:uid="{00000000-0005-0000-0000-0000BF150000}"/>
    <cellStyle name="Обычный 11 2 2 5" xfId="2500" xr:uid="{00000000-0005-0000-0000-0000C0150000}"/>
    <cellStyle name="Обычный 11 2 2 6" xfId="2501" xr:uid="{00000000-0005-0000-0000-0000C1150000}"/>
    <cellStyle name="Обычный 11 2 2 7" xfId="2502" xr:uid="{00000000-0005-0000-0000-0000C2150000}"/>
    <cellStyle name="Обычный 11 2 3" xfId="2503" xr:uid="{00000000-0005-0000-0000-0000C3150000}"/>
    <cellStyle name="Обычный 11 2 4" xfId="2504" xr:uid="{00000000-0005-0000-0000-0000C4150000}"/>
    <cellStyle name="Обычный 11 2 5" xfId="2505" xr:uid="{00000000-0005-0000-0000-0000C5150000}"/>
    <cellStyle name="Обычный 11 2 6" xfId="2506" xr:uid="{00000000-0005-0000-0000-0000C6150000}"/>
    <cellStyle name="Обычный 11 2 7" xfId="2507" xr:uid="{00000000-0005-0000-0000-0000C7150000}"/>
    <cellStyle name="Обычный 11 2 8" xfId="2508" xr:uid="{00000000-0005-0000-0000-0000C8150000}"/>
    <cellStyle name="Обычный 11 3" xfId="2509" xr:uid="{00000000-0005-0000-0000-0000C9150000}"/>
    <cellStyle name="Обычный 11 3 2" xfId="2510" xr:uid="{00000000-0005-0000-0000-0000CA150000}"/>
    <cellStyle name="Обычный 11 4" xfId="2511" xr:uid="{00000000-0005-0000-0000-0000CB150000}"/>
    <cellStyle name="Обычный 11 5" xfId="2512" xr:uid="{00000000-0005-0000-0000-0000CC150000}"/>
    <cellStyle name="Обычный 11 6" xfId="2513" xr:uid="{00000000-0005-0000-0000-0000CD150000}"/>
    <cellStyle name="Обычный 11 7" xfId="2514" xr:uid="{00000000-0005-0000-0000-0000CE150000}"/>
    <cellStyle name="Обычный 11 8" xfId="2515" xr:uid="{00000000-0005-0000-0000-0000CF150000}"/>
    <cellStyle name="Обычный 11 8 2" xfId="2516" xr:uid="{00000000-0005-0000-0000-0000D0150000}"/>
    <cellStyle name="Обычный 11 8 3" xfId="2517" xr:uid="{00000000-0005-0000-0000-0000D1150000}"/>
    <cellStyle name="Обычный 11 8 4" xfId="2518" xr:uid="{00000000-0005-0000-0000-0000D2150000}"/>
    <cellStyle name="Обычный 11 8 5" xfId="2519" xr:uid="{00000000-0005-0000-0000-0000D3150000}"/>
    <cellStyle name="Обычный 11 8 6" xfId="2520" xr:uid="{00000000-0005-0000-0000-0000D4150000}"/>
    <cellStyle name="Обычный 11 8 7" xfId="2521" xr:uid="{00000000-0005-0000-0000-0000D5150000}"/>
    <cellStyle name="Обычный 11 9" xfId="2522" xr:uid="{00000000-0005-0000-0000-0000D6150000}"/>
    <cellStyle name="Обычный 12" xfId="2523" xr:uid="{00000000-0005-0000-0000-0000D7150000}"/>
    <cellStyle name="Обычный 12 10" xfId="2524" xr:uid="{00000000-0005-0000-0000-0000D8150000}"/>
    <cellStyle name="Обычный 12 10 2" xfId="2525" xr:uid="{00000000-0005-0000-0000-0000D9150000}"/>
    <cellStyle name="Обычный 12 10 3" xfId="2526" xr:uid="{00000000-0005-0000-0000-0000DA150000}"/>
    <cellStyle name="Обычный 12 10 4" xfId="2527" xr:uid="{00000000-0005-0000-0000-0000DB150000}"/>
    <cellStyle name="Обычный 12 10 5" xfId="2528" xr:uid="{00000000-0005-0000-0000-0000DC150000}"/>
    <cellStyle name="Обычный 12 10 6" xfId="2529" xr:uid="{00000000-0005-0000-0000-0000DD150000}"/>
    <cellStyle name="Обычный 12 10 7" xfId="2530" xr:uid="{00000000-0005-0000-0000-0000DE150000}"/>
    <cellStyle name="Обычный 12 11" xfId="2531" xr:uid="{00000000-0005-0000-0000-0000DF150000}"/>
    <cellStyle name="Обычный 12 11 2" xfId="2532" xr:uid="{00000000-0005-0000-0000-0000E0150000}"/>
    <cellStyle name="Обычный 12 11 3" xfId="2533" xr:uid="{00000000-0005-0000-0000-0000E1150000}"/>
    <cellStyle name="Обычный 12 11 4" xfId="2534" xr:uid="{00000000-0005-0000-0000-0000E2150000}"/>
    <cellStyle name="Обычный 12 11 5" xfId="2535" xr:uid="{00000000-0005-0000-0000-0000E3150000}"/>
    <cellStyle name="Обычный 12 11 6" xfId="2536" xr:uid="{00000000-0005-0000-0000-0000E4150000}"/>
    <cellStyle name="Обычный 12 11 7" xfId="2537" xr:uid="{00000000-0005-0000-0000-0000E5150000}"/>
    <cellStyle name="Обычный 12 12" xfId="2538" xr:uid="{00000000-0005-0000-0000-0000E6150000}"/>
    <cellStyle name="Обычный 12 13" xfId="2539" xr:uid="{00000000-0005-0000-0000-0000E7150000}"/>
    <cellStyle name="Обычный 12 14" xfId="2540" xr:uid="{00000000-0005-0000-0000-0000E8150000}"/>
    <cellStyle name="Обычный 12 15" xfId="2541" xr:uid="{00000000-0005-0000-0000-0000E9150000}"/>
    <cellStyle name="Обычный 12 16" xfId="2542" xr:uid="{00000000-0005-0000-0000-0000EA150000}"/>
    <cellStyle name="Обычный 12 17" xfId="2543" xr:uid="{00000000-0005-0000-0000-0000EB150000}"/>
    <cellStyle name="Обычный 12 2" xfId="2544" xr:uid="{00000000-0005-0000-0000-0000EC150000}"/>
    <cellStyle name="Обычный 12 2 2" xfId="2545" xr:uid="{00000000-0005-0000-0000-0000ED150000}"/>
    <cellStyle name="Обычный 12 2 2 2" xfId="2546" xr:uid="{00000000-0005-0000-0000-0000EE150000}"/>
    <cellStyle name="Обычный 12 2 2 2 2" xfId="2547" xr:uid="{00000000-0005-0000-0000-0000EF150000}"/>
    <cellStyle name="Обычный 12 2 2 2 3" xfId="2548" xr:uid="{00000000-0005-0000-0000-0000F0150000}"/>
    <cellStyle name="Обычный 12 2 2 2 4" xfId="2549" xr:uid="{00000000-0005-0000-0000-0000F1150000}"/>
    <cellStyle name="Обычный 12 2 2 2 5" xfId="2550" xr:uid="{00000000-0005-0000-0000-0000F2150000}"/>
    <cellStyle name="Обычный 12 2 2 2 6" xfId="2551" xr:uid="{00000000-0005-0000-0000-0000F3150000}"/>
    <cellStyle name="Обычный 12 2 2 2 7" xfId="2552" xr:uid="{00000000-0005-0000-0000-0000F4150000}"/>
    <cellStyle name="Обычный 12 2 2 3" xfId="2553" xr:uid="{00000000-0005-0000-0000-0000F5150000}"/>
    <cellStyle name="Обычный 12 2 2 4" xfId="2554" xr:uid="{00000000-0005-0000-0000-0000F6150000}"/>
    <cellStyle name="Обычный 12 2 2 5" xfId="2555" xr:uid="{00000000-0005-0000-0000-0000F7150000}"/>
    <cellStyle name="Обычный 12 2 2 6" xfId="2556" xr:uid="{00000000-0005-0000-0000-0000F8150000}"/>
    <cellStyle name="Обычный 12 2 2 7" xfId="2557" xr:uid="{00000000-0005-0000-0000-0000F9150000}"/>
    <cellStyle name="Обычный 12 2 2 8" xfId="2558" xr:uid="{00000000-0005-0000-0000-0000FA150000}"/>
    <cellStyle name="Обычный 12 3" xfId="2559" xr:uid="{00000000-0005-0000-0000-0000FB150000}"/>
    <cellStyle name="Обычный 12 3 10" xfId="2560" xr:uid="{00000000-0005-0000-0000-0000FC150000}"/>
    <cellStyle name="Обычный 12 3 11" xfId="2561" xr:uid="{00000000-0005-0000-0000-0000FD150000}"/>
    <cellStyle name="Обычный 12 3 12" xfId="2562" xr:uid="{00000000-0005-0000-0000-0000FE150000}"/>
    <cellStyle name="Обычный 12 3 13" xfId="2563" xr:uid="{00000000-0005-0000-0000-0000FF150000}"/>
    <cellStyle name="Обычный 12 3 14" xfId="2564" xr:uid="{00000000-0005-0000-0000-000000160000}"/>
    <cellStyle name="Обычный 12 3 2" xfId="2565" xr:uid="{00000000-0005-0000-0000-000001160000}"/>
    <cellStyle name="Обычный 12 3 2 2" xfId="2566" xr:uid="{00000000-0005-0000-0000-000002160000}"/>
    <cellStyle name="Обычный 12 3 2 2 2" xfId="2567" xr:uid="{00000000-0005-0000-0000-000003160000}"/>
    <cellStyle name="Обычный 12 3 2 2 3" xfId="2568" xr:uid="{00000000-0005-0000-0000-000004160000}"/>
    <cellStyle name="Обычный 12 3 2 2 4" xfId="2569" xr:uid="{00000000-0005-0000-0000-000005160000}"/>
    <cellStyle name="Обычный 12 3 2 2 5" xfId="2570" xr:uid="{00000000-0005-0000-0000-000006160000}"/>
    <cellStyle name="Обычный 12 3 2 2 6" xfId="2571" xr:uid="{00000000-0005-0000-0000-000007160000}"/>
    <cellStyle name="Обычный 12 3 2 2 7" xfId="2572" xr:uid="{00000000-0005-0000-0000-000008160000}"/>
    <cellStyle name="Обычный 12 3 2 3" xfId="2573" xr:uid="{00000000-0005-0000-0000-000009160000}"/>
    <cellStyle name="Обычный 12 3 2 4" xfId="2574" xr:uid="{00000000-0005-0000-0000-00000A160000}"/>
    <cellStyle name="Обычный 12 3 2 5" xfId="2575" xr:uid="{00000000-0005-0000-0000-00000B160000}"/>
    <cellStyle name="Обычный 12 3 2 6" xfId="2576" xr:uid="{00000000-0005-0000-0000-00000C160000}"/>
    <cellStyle name="Обычный 12 3 2 7" xfId="2577" xr:uid="{00000000-0005-0000-0000-00000D160000}"/>
    <cellStyle name="Обычный 12 3 2 8" xfId="2578" xr:uid="{00000000-0005-0000-0000-00000E160000}"/>
    <cellStyle name="Обычный 12 3 3" xfId="2579" xr:uid="{00000000-0005-0000-0000-00000F160000}"/>
    <cellStyle name="Обычный 12 3 3 2" xfId="2580" xr:uid="{00000000-0005-0000-0000-000010160000}"/>
    <cellStyle name="Обычный 12 3 3 2 2" xfId="2581" xr:uid="{00000000-0005-0000-0000-000011160000}"/>
    <cellStyle name="Обычный 12 3 3 2 3" xfId="2582" xr:uid="{00000000-0005-0000-0000-000012160000}"/>
    <cellStyle name="Обычный 12 3 3 2 4" xfId="2583" xr:uid="{00000000-0005-0000-0000-000013160000}"/>
    <cellStyle name="Обычный 12 3 3 2 5" xfId="2584" xr:uid="{00000000-0005-0000-0000-000014160000}"/>
    <cellStyle name="Обычный 12 3 3 2 6" xfId="2585" xr:uid="{00000000-0005-0000-0000-000015160000}"/>
    <cellStyle name="Обычный 12 3 3 2 7" xfId="2586" xr:uid="{00000000-0005-0000-0000-000016160000}"/>
    <cellStyle name="Обычный 12 3 3 3" xfId="2587" xr:uid="{00000000-0005-0000-0000-000017160000}"/>
    <cellStyle name="Обычный 12 3 3 4" xfId="2588" xr:uid="{00000000-0005-0000-0000-000018160000}"/>
    <cellStyle name="Обычный 12 3 3 5" xfId="2589" xr:uid="{00000000-0005-0000-0000-000019160000}"/>
    <cellStyle name="Обычный 12 3 3 6" xfId="2590" xr:uid="{00000000-0005-0000-0000-00001A160000}"/>
    <cellStyle name="Обычный 12 3 3 7" xfId="2591" xr:uid="{00000000-0005-0000-0000-00001B160000}"/>
    <cellStyle name="Обычный 12 3 3 8" xfId="2592" xr:uid="{00000000-0005-0000-0000-00001C160000}"/>
    <cellStyle name="Обычный 12 3 4" xfId="2593" xr:uid="{00000000-0005-0000-0000-00001D160000}"/>
    <cellStyle name="Обычный 12 3 4 2" xfId="2594" xr:uid="{00000000-0005-0000-0000-00001E160000}"/>
    <cellStyle name="Обычный 12 3 4 2 2" xfId="2595" xr:uid="{00000000-0005-0000-0000-00001F160000}"/>
    <cellStyle name="Обычный 12 3 4 2 3" xfId="2596" xr:uid="{00000000-0005-0000-0000-000020160000}"/>
    <cellStyle name="Обычный 12 3 4 2 4" xfId="2597" xr:uid="{00000000-0005-0000-0000-000021160000}"/>
    <cellStyle name="Обычный 12 3 4 2 5" xfId="2598" xr:uid="{00000000-0005-0000-0000-000022160000}"/>
    <cellStyle name="Обычный 12 3 4 2 6" xfId="2599" xr:uid="{00000000-0005-0000-0000-000023160000}"/>
    <cellStyle name="Обычный 12 3 4 2 7" xfId="2600" xr:uid="{00000000-0005-0000-0000-000024160000}"/>
    <cellStyle name="Обычный 12 3 4 3" xfId="2601" xr:uid="{00000000-0005-0000-0000-000025160000}"/>
    <cellStyle name="Обычный 12 3 4 4" xfId="2602" xr:uid="{00000000-0005-0000-0000-000026160000}"/>
    <cellStyle name="Обычный 12 3 4 5" xfId="2603" xr:uid="{00000000-0005-0000-0000-000027160000}"/>
    <cellStyle name="Обычный 12 3 4 6" xfId="2604" xr:uid="{00000000-0005-0000-0000-000028160000}"/>
    <cellStyle name="Обычный 12 3 4 7" xfId="2605" xr:uid="{00000000-0005-0000-0000-000029160000}"/>
    <cellStyle name="Обычный 12 3 4 8" xfId="2606" xr:uid="{00000000-0005-0000-0000-00002A160000}"/>
    <cellStyle name="Обычный 12 3 5" xfId="2607" xr:uid="{00000000-0005-0000-0000-00002B160000}"/>
    <cellStyle name="Обычный 12 3 5 2" xfId="2608" xr:uid="{00000000-0005-0000-0000-00002C160000}"/>
    <cellStyle name="Обычный 12 3 5 2 2" xfId="2609" xr:uid="{00000000-0005-0000-0000-00002D160000}"/>
    <cellStyle name="Обычный 12 3 5 2 3" xfId="2610" xr:uid="{00000000-0005-0000-0000-00002E160000}"/>
    <cellStyle name="Обычный 12 3 5 2 4" xfId="2611" xr:uid="{00000000-0005-0000-0000-00002F160000}"/>
    <cellStyle name="Обычный 12 3 5 2 5" xfId="2612" xr:uid="{00000000-0005-0000-0000-000030160000}"/>
    <cellStyle name="Обычный 12 3 5 2 6" xfId="2613" xr:uid="{00000000-0005-0000-0000-000031160000}"/>
    <cellStyle name="Обычный 12 3 5 2 7" xfId="2614" xr:uid="{00000000-0005-0000-0000-000032160000}"/>
    <cellStyle name="Обычный 12 3 5 3" xfId="2615" xr:uid="{00000000-0005-0000-0000-000033160000}"/>
    <cellStyle name="Обычный 12 3 5 4" xfId="2616" xr:uid="{00000000-0005-0000-0000-000034160000}"/>
    <cellStyle name="Обычный 12 3 5 5" xfId="2617" xr:uid="{00000000-0005-0000-0000-000035160000}"/>
    <cellStyle name="Обычный 12 3 5 6" xfId="2618" xr:uid="{00000000-0005-0000-0000-000036160000}"/>
    <cellStyle name="Обычный 12 3 5 7" xfId="2619" xr:uid="{00000000-0005-0000-0000-000037160000}"/>
    <cellStyle name="Обычный 12 3 5 8" xfId="2620" xr:uid="{00000000-0005-0000-0000-000038160000}"/>
    <cellStyle name="Обычный 12 3 6" xfId="2621" xr:uid="{00000000-0005-0000-0000-000039160000}"/>
    <cellStyle name="Обычный 12 3 6 2" xfId="2622" xr:uid="{00000000-0005-0000-0000-00003A160000}"/>
    <cellStyle name="Обычный 12 3 6 2 2" xfId="2623" xr:uid="{00000000-0005-0000-0000-00003B160000}"/>
    <cellStyle name="Обычный 12 3 6 2 3" xfId="2624" xr:uid="{00000000-0005-0000-0000-00003C160000}"/>
    <cellStyle name="Обычный 12 3 6 2 4" xfId="2625" xr:uid="{00000000-0005-0000-0000-00003D160000}"/>
    <cellStyle name="Обычный 12 3 6 2 5" xfId="2626" xr:uid="{00000000-0005-0000-0000-00003E160000}"/>
    <cellStyle name="Обычный 12 3 6 2 6" xfId="2627" xr:uid="{00000000-0005-0000-0000-00003F160000}"/>
    <cellStyle name="Обычный 12 3 6 2 7" xfId="2628" xr:uid="{00000000-0005-0000-0000-000040160000}"/>
    <cellStyle name="Обычный 12 3 6 3" xfId="2629" xr:uid="{00000000-0005-0000-0000-000041160000}"/>
    <cellStyle name="Обычный 12 3 6 4" xfId="2630" xr:uid="{00000000-0005-0000-0000-000042160000}"/>
    <cellStyle name="Обычный 12 3 6 5" xfId="2631" xr:uid="{00000000-0005-0000-0000-000043160000}"/>
    <cellStyle name="Обычный 12 3 6 6" xfId="2632" xr:uid="{00000000-0005-0000-0000-000044160000}"/>
    <cellStyle name="Обычный 12 3 6 7" xfId="2633" xr:uid="{00000000-0005-0000-0000-000045160000}"/>
    <cellStyle name="Обычный 12 3 6 8" xfId="2634" xr:uid="{00000000-0005-0000-0000-000046160000}"/>
    <cellStyle name="Обычный 12 3 7" xfId="2635" xr:uid="{00000000-0005-0000-0000-000047160000}"/>
    <cellStyle name="Обычный 12 3 7 2" xfId="2636" xr:uid="{00000000-0005-0000-0000-000048160000}"/>
    <cellStyle name="Обычный 12 3 7 2 2" xfId="2637" xr:uid="{00000000-0005-0000-0000-000049160000}"/>
    <cellStyle name="Обычный 12 3 7 2 3" xfId="2638" xr:uid="{00000000-0005-0000-0000-00004A160000}"/>
    <cellStyle name="Обычный 12 3 7 2 4" xfId="2639" xr:uid="{00000000-0005-0000-0000-00004B160000}"/>
    <cellStyle name="Обычный 12 3 7 2 5" xfId="2640" xr:uid="{00000000-0005-0000-0000-00004C160000}"/>
    <cellStyle name="Обычный 12 3 7 2 6" xfId="2641" xr:uid="{00000000-0005-0000-0000-00004D160000}"/>
    <cellStyle name="Обычный 12 3 7 2 7" xfId="2642" xr:uid="{00000000-0005-0000-0000-00004E160000}"/>
    <cellStyle name="Обычный 12 3 7 3" xfId="2643" xr:uid="{00000000-0005-0000-0000-00004F160000}"/>
    <cellStyle name="Обычный 12 3 7 4" xfId="2644" xr:uid="{00000000-0005-0000-0000-000050160000}"/>
    <cellStyle name="Обычный 12 3 7 5" xfId="2645" xr:uid="{00000000-0005-0000-0000-000051160000}"/>
    <cellStyle name="Обычный 12 3 7 6" xfId="2646" xr:uid="{00000000-0005-0000-0000-000052160000}"/>
    <cellStyle name="Обычный 12 3 7 7" xfId="2647" xr:uid="{00000000-0005-0000-0000-000053160000}"/>
    <cellStyle name="Обычный 12 3 7 8" xfId="2648" xr:uid="{00000000-0005-0000-0000-000054160000}"/>
    <cellStyle name="Обычный 12 3 8" xfId="2649" xr:uid="{00000000-0005-0000-0000-000055160000}"/>
    <cellStyle name="Обычный 12 3 8 2" xfId="2650" xr:uid="{00000000-0005-0000-0000-000056160000}"/>
    <cellStyle name="Обычный 12 3 8 3" xfId="2651" xr:uid="{00000000-0005-0000-0000-000057160000}"/>
    <cellStyle name="Обычный 12 3 8 4" xfId="2652" xr:uid="{00000000-0005-0000-0000-000058160000}"/>
    <cellStyle name="Обычный 12 3 8 5" xfId="2653" xr:uid="{00000000-0005-0000-0000-000059160000}"/>
    <cellStyle name="Обычный 12 3 8 6" xfId="2654" xr:uid="{00000000-0005-0000-0000-00005A160000}"/>
    <cellStyle name="Обычный 12 3 8 7" xfId="2655" xr:uid="{00000000-0005-0000-0000-00005B160000}"/>
    <cellStyle name="Обычный 12 3 9" xfId="2656" xr:uid="{00000000-0005-0000-0000-00005C160000}"/>
    <cellStyle name="Обычный 12 4" xfId="2657" xr:uid="{00000000-0005-0000-0000-00005D160000}"/>
    <cellStyle name="Обычный 12 4 2" xfId="2658" xr:uid="{00000000-0005-0000-0000-00005E160000}"/>
    <cellStyle name="Обычный 12 4 2 2" xfId="2659" xr:uid="{00000000-0005-0000-0000-00005F160000}"/>
    <cellStyle name="Обычный 12 4 2 3" xfId="2660" xr:uid="{00000000-0005-0000-0000-000060160000}"/>
    <cellStyle name="Обычный 12 4 2 4" xfId="2661" xr:uid="{00000000-0005-0000-0000-000061160000}"/>
    <cellStyle name="Обычный 12 4 2 5" xfId="2662" xr:uid="{00000000-0005-0000-0000-000062160000}"/>
    <cellStyle name="Обычный 12 4 2 6" xfId="2663" xr:uid="{00000000-0005-0000-0000-000063160000}"/>
    <cellStyle name="Обычный 12 4 2 7" xfId="2664" xr:uid="{00000000-0005-0000-0000-000064160000}"/>
    <cellStyle name="Обычный 12 4 3" xfId="2665" xr:uid="{00000000-0005-0000-0000-000065160000}"/>
    <cellStyle name="Обычный 12 4 4" xfId="2666" xr:uid="{00000000-0005-0000-0000-000066160000}"/>
    <cellStyle name="Обычный 12 4 5" xfId="2667" xr:uid="{00000000-0005-0000-0000-000067160000}"/>
    <cellStyle name="Обычный 12 4 6" xfId="2668" xr:uid="{00000000-0005-0000-0000-000068160000}"/>
    <cellStyle name="Обычный 12 4 7" xfId="2669" xr:uid="{00000000-0005-0000-0000-000069160000}"/>
    <cellStyle name="Обычный 12 4 8" xfId="2670" xr:uid="{00000000-0005-0000-0000-00006A160000}"/>
    <cellStyle name="Обычный 12 5" xfId="2671" xr:uid="{00000000-0005-0000-0000-00006B160000}"/>
    <cellStyle name="Обычный 12 5 2" xfId="2672" xr:uid="{00000000-0005-0000-0000-00006C160000}"/>
    <cellStyle name="Обычный 12 5 2 2" xfId="2673" xr:uid="{00000000-0005-0000-0000-00006D160000}"/>
    <cellStyle name="Обычный 12 5 2 3" xfId="2674" xr:uid="{00000000-0005-0000-0000-00006E160000}"/>
    <cellStyle name="Обычный 12 5 2 4" xfId="2675" xr:uid="{00000000-0005-0000-0000-00006F160000}"/>
    <cellStyle name="Обычный 12 5 2 5" xfId="2676" xr:uid="{00000000-0005-0000-0000-000070160000}"/>
    <cellStyle name="Обычный 12 5 2 6" xfId="2677" xr:uid="{00000000-0005-0000-0000-000071160000}"/>
    <cellStyle name="Обычный 12 5 2 7" xfId="2678" xr:uid="{00000000-0005-0000-0000-000072160000}"/>
    <cellStyle name="Обычный 12 5 3" xfId="2679" xr:uid="{00000000-0005-0000-0000-000073160000}"/>
    <cellStyle name="Обычный 12 5 4" xfId="2680" xr:uid="{00000000-0005-0000-0000-000074160000}"/>
    <cellStyle name="Обычный 12 5 5" xfId="2681" xr:uid="{00000000-0005-0000-0000-000075160000}"/>
    <cellStyle name="Обычный 12 5 6" xfId="2682" xr:uid="{00000000-0005-0000-0000-000076160000}"/>
    <cellStyle name="Обычный 12 5 7" xfId="2683" xr:uid="{00000000-0005-0000-0000-000077160000}"/>
    <cellStyle name="Обычный 12 5 8" xfId="2684" xr:uid="{00000000-0005-0000-0000-000078160000}"/>
    <cellStyle name="Обычный 12 6" xfId="2685" xr:uid="{00000000-0005-0000-0000-000079160000}"/>
    <cellStyle name="Обычный 12 6 2" xfId="2686" xr:uid="{00000000-0005-0000-0000-00007A160000}"/>
    <cellStyle name="Обычный 12 6 2 2" xfId="2687" xr:uid="{00000000-0005-0000-0000-00007B160000}"/>
    <cellStyle name="Обычный 12 6 2 3" xfId="2688" xr:uid="{00000000-0005-0000-0000-00007C160000}"/>
    <cellStyle name="Обычный 12 6 2 4" xfId="2689" xr:uid="{00000000-0005-0000-0000-00007D160000}"/>
    <cellStyle name="Обычный 12 6 2 5" xfId="2690" xr:uid="{00000000-0005-0000-0000-00007E160000}"/>
    <cellStyle name="Обычный 12 6 2 6" xfId="2691" xr:uid="{00000000-0005-0000-0000-00007F160000}"/>
    <cellStyle name="Обычный 12 6 2 7" xfId="2692" xr:uid="{00000000-0005-0000-0000-000080160000}"/>
    <cellStyle name="Обычный 12 6 3" xfId="2693" xr:uid="{00000000-0005-0000-0000-000081160000}"/>
    <cellStyle name="Обычный 12 6 4" xfId="2694" xr:uid="{00000000-0005-0000-0000-000082160000}"/>
    <cellStyle name="Обычный 12 6 5" xfId="2695" xr:uid="{00000000-0005-0000-0000-000083160000}"/>
    <cellStyle name="Обычный 12 6 6" xfId="2696" xr:uid="{00000000-0005-0000-0000-000084160000}"/>
    <cellStyle name="Обычный 12 6 7" xfId="2697" xr:uid="{00000000-0005-0000-0000-000085160000}"/>
    <cellStyle name="Обычный 12 6 8" xfId="2698" xr:uid="{00000000-0005-0000-0000-000086160000}"/>
    <cellStyle name="Обычный 12 7" xfId="2699" xr:uid="{00000000-0005-0000-0000-000087160000}"/>
    <cellStyle name="Обычный 12 7 2" xfId="2700" xr:uid="{00000000-0005-0000-0000-000088160000}"/>
    <cellStyle name="Обычный 12 7 2 2" xfId="2701" xr:uid="{00000000-0005-0000-0000-000089160000}"/>
    <cellStyle name="Обычный 12 7 2 3" xfId="2702" xr:uid="{00000000-0005-0000-0000-00008A160000}"/>
    <cellStyle name="Обычный 12 7 2 4" xfId="2703" xr:uid="{00000000-0005-0000-0000-00008B160000}"/>
    <cellStyle name="Обычный 12 7 2 5" xfId="2704" xr:uid="{00000000-0005-0000-0000-00008C160000}"/>
    <cellStyle name="Обычный 12 7 2 6" xfId="2705" xr:uid="{00000000-0005-0000-0000-00008D160000}"/>
    <cellStyle name="Обычный 12 7 2 7" xfId="2706" xr:uid="{00000000-0005-0000-0000-00008E160000}"/>
    <cellStyle name="Обычный 12 7 3" xfId="2707" xr:uid="{00000000-0005-0000-0000-00008F160000}"/>
    <cellStyle name="Обычный 12 7 4" xfId="2708" xr:uid="{00000000-0005-0000-0000-000090160000}"/>
    <cellStyle name="Обычный 12 7 5" xfId="2709" xr:uid="{00000000-0005-0000-0000-000091160000}"/>
    <cellStyle name="Обычный 12 7 6" xfId="2710" xr:uid="{00000000-0005-0000-0000-000092160000}"/>
    <cellStyle name="Обычный 12 7 7" xfId="2711" xr:uid="{00000000-0005-0000-0000-000093160000}"/>
    <cellStyle name="Обычный 12 7 8" xfId="2712" xr:uid="{00000000-0005-0000-0000-000094160000}"/>
    <cellStyle name="Обычный 12 8" xfId="2713" xr:uid="{00000000-0005-0000-0000-000095160000}"/>
    <cellStyle name="Обычный 12 8 2" xfId="2714" xr:uid="{00000000-0005-0000-0000-000096160000}"/>
    <cellStyle name="Обычный 12 8 2 2" xfId="2715" xr:uid="{00000000-0005-0000-0000-000097160000}"/>
    <cellStyle name="Обычный 12 8 2 3" xfId="2716" xr:uid="{00000000-0005-0000-0000-000098160000}"/>
    <cellStyle name="Обычный 12 8 2 4" xfId="2717" xr:uid="{00000000-0005-0000-0000-000099160000}"/>
    <cellStyle name="Обычный 12 8 2 5" xfId="2718" xr:uid="{00000000-0005-0000-0000-00009A160000}"/>
    <cellStyle name="Обычный 12 8 2 6" xfId="2719" xr:uid="{00000000-0005-0000-0000-00009B160000}"/>
    <cellStyle name="Обычный 12 8 2 7" xfId="2720" xr:uid="{00000000-0005-0000-0000-00009C160000}"/>
    <cellStyle name="Обычный 12 8 3" xfId="2721" xr:uid="{00000000-0005-0000-0000-00009D160000}"/>
    <cellStyle name="Обычный 12 8 4" xfId="2722" xr:uid="{00000000-0005-0000-0000-00009E160000}"/>
    <cellStyle name="Обычный 12 8 5" xfId="2723" xr:uid="{00000000-0005-0000-0000-00009F160000}"/>
    <cellStyle name="Обычный 12 8 6" xfId="2724" xr:uid="{00000000-0005-0000-0000-0000A0160000}"/>
    <cellStyle name="Обычный 12 8 7" xfId="2725" xr:uid="{00000000-0005-0000-0000-0000A1160000}"/>
    <cellStyle name="Обычный 12 8 8" xfId="2726" xr:uid="{00000000-0005-0000-0000-0000A2160000}"/>
    <cellStyle name="Обычный 12 9" xfId="2727" xr:uid="{00000000-0005-0000-0000-0000A3160000}"/>
    <cellStyle name="Обычный 12 9 2" xfId="2728" xr:uid="{00000000-0005-0000-0000-0000A4160000}"/>
    <cellStyle name="Обычный 12 9 2 2" xfId="2729" xr:uid="{00000000-0005-0000-0000-0000A5160000}"/>
    <cellStyle name="Обычный 12 9 2 3" xfId="2730" xr:uid="{00000000-0005-0000-0000-0000A6160000}"/>
    <cellStyle name="Обычный 12 9 2 4" xfId="2731" xr:uid="{00000000-0005-0000-0000-0000A7160000}"/>
    <cellStyle name="Обычный 12 9 2 5" xfId="2732" xr:uid="{00000000-0005-0000-0000-0000A8160000}"/>
    <cellStyle name="Обычный 12 9 2 6" xfId="2733" xr:uid="{00000000-0005-0000-0000-0000A9160000}"/>
    <cellStyle name="Обычный 12 9 2 7" xfId="2734" xr:uid="{00000000-0005-0000-0000-0000AA160000}"/>
    <cellStyle name="Обычный 12 9 3" xfId="2735" xr:uid="{00000000-0005-0000-0000-0000AB160000}"/>
    <cellStyle name="Обычный 12 9 4" xfId="2736" xr:uid="{00000000-0005-0000-0000-0000AC160000}"/>
    <cellStyle name="Обычный 12 9 5" xfId="2737" xr:uid="{00000000-0005-0000-0000-0000AD160000}"/>
    <cellStyle name="Обычный 12 9 6" xfId="2738" xr:uid="{00000000-0005-0000-0000-0000AE160000}"/>
    <cellStyle name="Обычный 12 9 7" xfId="2739" xr:uid="{00000000-0005-0000-0000-0000AF160000}"/>
    <cellStyle name="Обычный 12 9 8" xfId="2740" xr:uid="{00000000-0005-0000-0000-0000B0160000}"/>
    <cellStyle name="Обычный 13" xfId="2741" xr:uid="{00000000-0005-0000-0000-0000B1160000}"/>
    <cellStyle name="Обычный 13 2" xfId="2742" xr:uid="{00000000-0005-0000-0000-0000B2160000}"/>
    <cellStyle name="Обычный 13 2 2" xfId="2743" xr:uid="{00000000-0005-0000-0000-0000B3160000}"/>
    <cellStyle name="Обычный 13 2 2 2" xfId="2744" xr:uid="{00000000-0005-0000-0000-0000B4160000}"/>
    <cellStyle name="Обычный 13 2 2 3" xfId="2745" xr:uid="{00000000-0005-0000-0000-0000B5160000}"/>
    <cellStyle name="Обычный 13 2 2 4" xfId="2746" xr:uid="{00000000-0005-0000-0000-0000B6160000}"/>
    <cellStyle name="Обычный 13 2 2 5" xfId="2747" xr:uid="{00000000-0005-0000-0000-0000B7160000}"/>
    <cellStyle name="Обычный 13 2 2 6" xfId="2748" xr:uid="{00000000-0005-0000-0000-0000B8160000}"/>
    <cellStyle name="Обычный 13 2 2 7" xfId="2749" xr:uid="{00000000-0005-0000-0000-0000B9160000}"/>
    <cellStyle name="Обычный 13 2 3" xfId="2750" xr:uid="{00000000-0005-0000-0000-0000BA160000}"/>
    <cellStyle name="Обычный 13 2 4" xfId="2751" xr:uid="{00000000-0005-0000-0000-0000BB160000}"/>
    <cellStyle name="Обычный 13 2 5" xfId="2752" xr:uid="{00000000-0005-0000-0000-0000BC160000}"/>
    <cellStyle name="Обычный 13 2 6" xfId="2753" xr:uid="{00000000-0005-0000-0000-0000BD160000}"/>
    <cellStyle name="Обычный 13 2 7" xfId="2754" xr:uid="{00000000-0005-0000-0000-0000BE160000}"/>
    <cellStyle name="Обычный 13 2 8" xfId="2755" xr:uid="{00000000-0005-0000-0000-0000BF160000}"/>
    <cellStyle name="Обычный 14" xfId="2756" xr:uid="{00000000-0005-0000-0000-0000C0160000}"/>
    <cellStyle name="Обычный 15" xfId="2757" xr:uid="{00000000-0005-0000-0000-0000C1160000}"/>
    <cellStyle name="Обычный 15 10" xfId="2758" xr:uid="{00000000-0005-0000-0000-0000C2160000}"/>
    <cellStyle name="Обычный 15 2" xfId="2759" xr:uid="{00000000-0005-0000-0000-0000C3160000}"/>
    <cellStyle name="Обычный 15 3" xfId="2760" xr:uid="{00000000-0005-0000-0000-0000C4160000}"/>
    <cellStyle name="Обычный 15 4" xfId="2761" xr:uid="{00000000-0005-0000-0000-0000C5160000}"/>
    <cellStyle name="Обычный 15 5" xfId="2762" xr:uid="{00000000-0005-0000-0000-0000C6160000}"/>
    <cellStyle name="Обычный 15 6" xfId="2763" xr:uid="{00000000-0005-0000-0000-0000C7160000}"/>
    <cellStyle name="Обычный 15 7" xfId="2764" xr:uid="{00000000-0005-0000-0000-0000C8160000}"/>
    <cellStyle name="Обычный 15 8" xfId="2765" xr:uid="{00000000-0005-0000-0000-0000C9160000}"/>
    <cellStyle name="Обычный 15 9" xfId="2766" xr:uid="{00000000-0005-0000-0000-0000CA160000}"/>
    <cellStyle name="Обычный 16" xfId="2767" xr:uid="{00000000-0005-0000-0000-0000CB160000}"/>
    <cellStyle name="Обычный 16 10" xfId="2768" xr:uid="{00000000-0005-0000-0000-0000CC160000}"/>
    <cellStyle name="Обычный 16 11" xfId="2769" xr:uid="{00000000-0005-0000-0000-0000CD160000}"/>
    <cellStyle name="Обычный 16 12" xfId="2770" xr:uid="{00000000-0005-0000-0000-0000CE160000}"/>
    <cellStyle name="Обычный 16 13" xfId="2771" xr:uid="{00000000-0005-0000-0000-0000CF160000}"/>
    <cellStyle name="Обычный 16 14" xfId="2772" xr:uid="{00000000-0005-0000-0000-0000D0160000}"/>
    <cellStyle name="Обычный 16 2" xfId="2773" xr:uid="{00000000-0005-0000-0000-0000D1160000}"/>
    <cellStyle name="Обычный 16 2 2" xfId="2774" xr:uid="{00000000-0005-0000-0000-0000D2160000}"/>
    <cellStyle name="Обычный 16 2 2 2" xfId="2775" xr:uid="{00000000-0005-0000-0000-0000D3160000}"/>
    <cellStyle name="Обычный 16 2 2 3" xfId="2776" xr:uid="{00000000-0005-0000-0000-0000D4160000}"/>
    <cellStyle name="Обычный 16 2 2 4" xfId="2777" xr:uid="{00000000-0005-0000-0000-0000D5160000}"/>
    <cellStyle name="Обычный 16 2 2 5" xfId="2778" xr:uid="{00000000-0005-0000-0000-0000D6160000}"/>
    <cellStyle name="Обычный 16 2 2 6" xfId="2779" xr:uid="{00000000-0005-0000-0000-0000D7160000}"/>
    <cellStyle name="Обычный 16 2 2 7" xfId="2780" xr:uid="{00000000-0005-0000-0000-0000D8160000}"/>
    <cellStyle name="Обычный 16 2 3" xfId="2781" xr:uid="{00000000-0005-0000-0000-0000D9160000}"/>
    <cellStyle name="Обычный 16 2 4" xfId="2782" xr:uid="{00000000-0005-0000-0000-0000DA160000}"/>
    <cellStyle name="Обычный 16 2 5" xfId="2783" xr:uid="{00000000-0005-0000-0000-0000DB160000}"/>
    <cellStyle name="Обычный 16 2 6" xfId="2784" xr:uid="{00000000-0005-0000-0000-0000DC160000}"/>
    <cellStyle name="Обычный 16 2 7" xfId="2785" xr:uid="{00000000-0005-0000-0000-0000DD160000}"/>
    <cellStyle name="Обычный 16 2 8" xfId="2786" xr:uid="{00000000-0005-0000-0000-0000DE160000}"/>
    <cellStyle name="Обычный 16 3" xfId="2787" xr:uid="{00000000-0005-0000-0000-0000DF160000}"/>
    <cellStyle name="Обычный 16 3 2" xfId="2788" xr:uid="{00000000-0005-0000-0000-0000E0160000}"/>
    <cellStyle name="Обычный 16 3 2 2" xfId="2789" xr:uid="{00000000-0005-0000-0000-0000E1160000}"/>
    <cellStyle name="Обычный 16 3 2 3" xfId="2790" xr:uid="{00000000-0005-0000-0000-0000E2160000}"/>
    <cellStyle name="Обычный 16 3 2 4" xfId="2791" xr:uid="{00000000-0005-0000-0000-0000E3160000}"/>
    <cellStyle name="Обычный 16 3 2 5" xfId="2792" xr:uid="{00000000-0005-0000-0000-0000E4160000}"/>
    <cellStyle name="Обычный 16 3 2 6" xfId="2793" xr:uid="{00000000-0005-0000-0000-0000E5160000}"/>
    <cellStyle name="Обычный 16 3 2 7" xfId="2794" xr:uid="{00000000-0005-0000-0000-0000E6160000}"/>
    <cellStyle name="Обычный 16 3 3" xfId="2795" xr:uid="{00000000-0005-0000-0000-0000E7160000}"/>
    <cellStyle name="Обычный 16 3 4" xfId="2796" xr:uid="{00000000-0005-0000-0000-0000E8160000}"/>
    <cellStyle name="Обычный 16 3 5" xfId="2797" xr:uid="{00000000-0005-0000-0000-0000E9160000}"/>
    <cellStyle name="Обычный 16 3 6" xfId="2798" xr:uid="{00000000-0005-0000-0000-0000EA160000}"/>
    <cellStyle name="Обычный 16 3 7" xfId="2799" xr:uid="{00000000-0005-0000-0000-0000EB160000}"/>
    <cellStyle name="Обычный 16 3 8" xfId="2800" xr:uid="{00000000-0005-0000-0000-0000EC160000}"/>
    <cellStyle name="Обычный 16 4" xfId="2801" xr:uid="{00000000-0005-0000-0000-0000ED160000}"/>
    <cellStyle name="Обычный 16 4 2" xfId="2802" xr:uid="{00000000-0005-0000-0000-0000EE160000}"/>
    <cellStyle name="Обычный 16 4 2 2" xfId="2803" xr:uid="{00000000-0005-0000-0000-0000EF160000}"/>
    <cellStyle name="Обычный 16 4 2 3" xfId="2804" xr:uid="{00000000-0005-0000-0000-0000F0160000}"/>
    <cellStyle name="Обычный 16 4 2 4" xfId="2805" xr:uid="{00000000-0005-0000-0000-0000F1160000}"/>
    <cellStyle name="Обычный 16 4 2 5" xfId="2806" xr:uid="{00000000-0005-0000-0000-0000F2160000}"/>
    <cellStyle name="Обычный 16 4 2 6" xfId="2807" xr:uid="{00000000-0005-0000-0000-0000F3160000}"/>
    <cellStyle name="Обычный 16 4 2 7" xfId="2808" xr:uid="{00000000-0005-0000-0000-0000F4160000}"/>
    <cellStyle name="Обычный 16 4 3" xfId="2809" xr:uid="{00000000-0005-0000-0000-0000F5160000}"/>
    <cellStyle name="Обычный 16 4 4" xfId="2810" xr:uid="{00000000-0005-0000-0000-0000F6160000}"/>
    <cellStyle name="Обычный 16 4 5" xfId="2811" xr:uid="{00000000-0005-0000-0000-0000F7160000}"/>
    <cellStyle name="Обычный 16 4 6" xfId="2812" xr:uid="{00000000-0005-0000-0000-0000F8160000}"/>
    <cellStyle name="Обычный 16 4 7" xfId="2813" xr:uid="{00000000-0005-0000-0000-0000F9160000}"/>
    <cellStyle name="Обычный 16 4 8" xfId="2814" xr:uid="{00000000-0005-0000-0000-0000FA160000}"/>
    <cellStyle name="Обычный 16 5" xfId="2815" xr:uid="{00000000-0005-0000-0000-0000FB160000}"/>
    <cellStyle name="Обычный 16 5 2" xfId="2816" xr:uid="{00000000-0005-0000-0000-0000FC160000}"/>
    <cellStyle name="Обычный 16 5 2 2" xfId="2817" xr:uid="{00000000-0005-0000-0000-0000FD160000}"/>
    <cellStyle name="Обычный 16 5 2 3" xfId="2818" xr:uid="{00000000-0005-0000-0000-0000FE160000}"/>
    <cellStyle name="Обычный 16 5 2 4" xfId="2819" xr:uid="{00000000-0005-0000-0000-0000FF160000}"/>
    <cellStyle name="Обычный 16 5 2 5" xfId="2820" xr:uid="{00000000-0005-0000-0000-000000170000}"/>
    <cellStyle name="Обычный 16 5 2 6" xfId="2821" xr:uid="{00000000-0005-0000-0000-000001170000}"/>
    <cellStyle name="Обычный 16 5 2 7" xfId="2822" xr:uid="{00000000-0005-0000-0000-000002170000}"/>
    <cellStyle name="Обычный 16 5 3" xfId="2823" xr:uid="{00000000-0005-0000-0000-000003170000}"/>
    <cellStyle name="Обычный 16 5 4" xfId="2824" xr:uid="{00000000-0005-0000-0000-000004170000}"/>
    <cellStyle name="Обычный 16 5 5" xfId="2825" xr:uid="{00000000-0005-0000-0000-000005170000}"/>
    <cellStyle name="Обычный 16 5 6" xfId="2826" xr:uid="{00000000-0005-0000-0000-000006170000}"/>
    <cellStyle name="Обычный 16 5 7" xfId="2827" xr:uid="{00000000-0005-0000-0000-000007170000}"/>
    <cellStyle name="Обычный 16 5 8" xfId="2828" xr:uid="{00000000-0005-0000-0000-000008170000}"/>
    <cellStyle name="Обычный 16 6" xfId="2829" xr:uid="{00000000-0005-0000-0000-000009170000}"/>
    <cellStyle name="Обычный 16 6 2" xfId="2830" xr:uid="{00000000-0005-0000-0000-00000A170000}"/>
    <cellStyle name="Обычный 16 6 2 2" xfId="2831" xr:uid="{00000000-0005-0000-0000-00000B170000}"/>
    <cellStyle name="Обычный 16 6 2 3" xfId="2832" xr:uid="{00000000-0005-0000-0000-00000C170000}"/>
    <cellStyle name="Обычный 16 6 2 4" xfId="2833" xr:uid="{00000000-0005-0000-0000-00000D170000}"/>
    <cellStyle name="Обычный 16 6 2 5" xfId="2834" xr:uid="{00000000-0005-0000-0000-00000E170000}"/>
    <cellStyle name="Обычный 16 6 2 6" xfId="2835" xr:uid="{00000000-0005-0000-0000-00000F170000}"/>
    <cellStyle name="Обычный 16 6 2 7" xfId="2836" xr:uid="{00000000-0005-0000-0000-000010170000}"/>
    <cellStyle name="Обычный 16 6 3" xfId="2837" xr:uid="{00000000-0005-0000-0000-000011170000}"/>
    <cellStyle name="Обычный 16 6 4" xfId="2838" xr:uid="{00000000-0005-0000-0000-000012170000}"/>
    <cellStyle name="Обычный 16 6 5" xfId="2839" xr:uid="{00000000-0005-0000-0000-000013170000}"/>
    <cellStyle name="Обычный 16 6 6" xfId="2840" xr:uid="{00000000-0005-0000-0000-000014170000}"/>
    <cellStyle name="Обычный 16 6 7" xfId="2841" xr:uid="{00000000-0005-0000-0000-000015170000}"/>
    <cellStyle name="Обычный 16 6 8" xfId="2842" xr:uid="{00000000-0005-0000-0000-000016170000}"/>
    <cellStyle name="Обычный 16 7" xfId="2843" xr:uid="{00000000-0005-0000-0000-000017170000}"/>
    <cellStyle name="Обычный 16 7 2" xfId="2844" xr:uid="{00000000-0005-0000-0000-000018170000}"/>
    <cellStyle name="Обычный 16 7 2 2" xfId="2845" xr:uid="{00000000-0005-0000-0000-000019170000}"/>
    <cellStyle name="Обычный 16 7 2 3" xfId="2846" xr:uid="{00000000-0005-0000-0000-00001A170000}"/>
    <cellStyle name="Обычный 16 7 2 4" xfId="2847" xr:uid="{00000000-0005-0000-0000-00001B170000}"/>
    <cellStyle name="Обычный 16 7 2 5" xfId="2848" xr:uid="{00000000-0005-0000-0000-00001C170000}"/>
    <cellStyle name="Обычный 16 7 2 6" xfId="2849" xr:uid="{00000000-0005-0000-0000-00001D170000}"/>
    <cellStyle name="Обычный 16 7 2 7" xfId="2850" xr:uid="{00000000-0005-0000-0000-00001E170000}"/>
    <cellStyle name="Обычный 16 7 3" xfId="2851" xr:uid="{00000000-0005-0000-0000-00001F170000}"/>
    <cellStyle name="Обычный 16 7 4" xfId="2852" xr:uid="{00000000-0005-0000-0000-000020170000}"/>
    <cellStyle name="Обычный 16 7 5" xfId="2853" xr:uid="{00000000-0005-0000-0000-000021170000}"/>
    <cellStyle name="Обычный 16 7 6" xfId="2854" xr:uid="{00000000-0005-0000-0000-000022170000}"/>
    <cellStyle name="Обычный 16 7 7" xfId="2855" xr:uid="{00000000-0005-0000-0000-000023170000}"/>
    <cellStyle name="Обычный 16 7 8" xfId="2856" xr:uid="{00000000-0005-0000-0000-000024170000}"/>
    <cellStyle name="Обычный 16 8" xfId="2857" xr:uid="{00000000-0005-0000-0000-000025170000}"/>
    <cellStyle name="Обычный 16 8 2" xfId="2858" xr:uid="{00000000-0005-0000-0000-000026170000}"/>
    <cellStyle name="Обычный 16 8 3" xfId="2859" xr:uid="{00000000-0005-0000-0000-000027170000}"/>
    <cellStyle name="Обычный 16 8 4" xfId="2860" xr:uid="{00000000-0005-0000-0000-000028170000}"/>
    <cellStyle name="Обычный 16 8 5" xfId="2861" xr:uid="{00000000-0005-0000-0000-000029170000}"/>
    <cellStyle name="Обычный 16 8 6" xfId="2862" xr:uid="{00000000-0005-0000-0000-00002A170000}"/>
    <cellStyle name="Обычный 16 8 7" xfId="2863" xr:uid="{00000000-0005-0000-0000-00002B170000}"/>
    <cellStyle name="Обычный 16 9" xfId="2864" xr:uid="{00000000-0005-0000-0000-00002C170000}"/>
    <cellStyle name="Обычный 17" xfId="2865" xr:uid="{00000000-0005-0000-0000-00002D170000}"/>
    <cellStyle name="Обычный 17 2" xfId="2866" xr:uid="{00000000-0005-0000-0000-00002E170000}"/>
    <cellStyle name="Обычный 17 2 2" xfId="2867" xr:uid="{00000000-0005-0000-0000-00002F170000}"/>
    <cellStyle name="Обычный 17 2 2 2" xfId="2868" xr:uid="{00000000-0005-0000-0000-000030170000}"/>
    <cellStyle name="Обычный 17 2 2 3" xfId="2869" xr:uid="{00000000-0005-0000-0000-000031170000}"/>
    <cellStyle name="Обычный 17 2 2 4" xfId="2870" xr:uid="{00000000-0005-0000-0000-000032170000}"/>
    <cellStyle name="Обычный 17 2 2 5" xfId="2871" xr:uid="{00000000-0005-0000-0000-000033170000}"/>
    <cellStyle name="Обычный 17 2 2 6" xfId="2872" xr:uid="{00000000-0005-0000-0000-000034170000}"/>
    <cellStyle name="Обычный 17 2 2 7" xfId="2873" xr:uid="{00000000-0005-0000-0000-000035170000}"/>
    <cellStyle name="Обычный 17 2 3" xfId="2874" xr:uid="{00000000-0005-0000-0000-000036170000}"/>
    <cellStyle name="Обычный 17 2 4" xfId="2875" xr:uid="{00000000-0005-0000-0000-000037170000}"/>
    <cellStyle name="Обычный 17 2 5" xfId="2876" xr:uid="{00000000-0005-0000-0000-000038170000}"/>
    <cellStyle name="Обычный 17 2 6" xfId="2877" xr:uid="{00000000-0005-0000-0000-000039170000}"/>
    <cellStyle name="Обычный 17 2 7" xfId="2878" xr:uid="{00000000-0005-0000-0000-00003A170000}"/>
    <cellStyle name="Обычный 17 2 8" xfId="2879" xr:uid="{00000000-0005-0000-0000-00003B170000}"/>
    <cellStyle name="Обычный 17 3" xfId="2880" xr:uid="{00000000-0005-0000-0000-00003C170000}"/>
    <cellStyle name="Обычный 17 3 2" xfId="2881" xr:uid="{00000000-0005-0000-0000-00003D170000}"/>
    <cellStyle name="Обычный 17 3 3" xfId="2882" xr:uid="{00000000-0005-0000-0000-00003E170000}"/>
    <cellStyle name="Обычный 17 3 4" xfId="2883" xr:uid="{00000000-0005-0000-0000-00003F170000}"/>
    <cellStyle name="Обычный 17 3 5" xfId="2884" xr:uid="{00000000-0005-0000-0000-000040170000}"/>
    <cellStyle name="Обычный 17 3 6" xfId="2885" xr:uid="{00000000-0005-0000-0000-000041170000}"/>
    <cellStyle name="Обычный 17 3 7" xfId="2886" xr:uid="{00000000-0005-0000-0000-000042170000}"/>
    <cellStyle name="Обычный 17 4" xfId="2887" xr:uid="{00000000-0005-0000-0000-000043170000}"/>
    <cellStyle name="Обычный 17 5" xfId="2888" xr:uid="{00000000-0005-0000-0000-000044170000}"/>
    <cellStyle name="Обычный 17 6" xfId="2889" xr:uid="{00000000-0005-0000-0000-000045170000}"/>
    <cellStyle name="Обычный 17 7" xfId="2890" xr:uid="{00000000-0005-0000-0000-000046170000}"/>
    <cellStyle name="Обычный 17 8" xfId="2891" xr:uid="{00000000-0005-0000-0000-000047170000}"/>
    <cellStyle name="Обычный 17 9" xfId="2892" xr:uid="{00000000-0005-0000-0000-000048170000}"/>
    <cellStyle name="Обычный 18" xfId="2893" xr:uid="{00000000-0005-0000-0000-000049170000}"/>
    <cellStyle name="Обычный 18 2" xfId="2894" xr:uid="{00000000-0005-0000-0000-00004A170000}"/>
    <cellStyle name="Обычный 18 2 2" xfId="2895" xr:uid="{00000000-0005-0000-0000-00004B170000}"/>
    <cellStyle name="Обычный 18 2 2 2" xfId="2896" xr:uid="{00000000-0005-0000-0000-00004C170000}"/>
    <cellStyle name="Обычный 18 2 2 3" xfId="2897" xr:uid="{00000000-0005-0000-0000-00004D170000}"/>
    <cellStyle name="Обычный 18 2 2 4" xfId="2898" xr:uid="{00000000-0005-0000-0000-00004E170000}"/>
    <cellStyle name="Обычный 18 2 2 5" xfId="2899" xr:uid="{00000000-0005-0000-0000-00004F170000}"/>
    <cellStyle name="Обычный 18 2 2 6" xfId="2900" xr:uid="{00000000-0005-0000-0000-000050170000}"/>
    <cellStyle name="Обычный 18 2 2 7" xfId="2901" xr:uid="{00000000-0005-0000-0000-000051170000}"/>
    <cellStyle name="Обычный 18 2 3" xfId="2902" xr:uid="{00000000-0005-0000-0000-000052170000}"/>
    <cellStyle name="Обычный 18 2 4" xfId="2903" xr:uid="{00000000-0005-0000-0000-000053170000}"/>
    <cellStyle name="Обычный 18 2 5" xfId="2904" xr:uid="{00000000-0005-0000-0000-000054170000}"/>
    <cellStyle name="Обычный 18 2 6" xfId="2905" xr:uid="{00000000-0005-0000-0000-000055170000}"/>
    <cellStyle name="Обычный 18 2 7" xfId="2906" xr:uid="{00000000-0005-0000-0000-000056170000}"/>
    <cellStyle name="Обычный 18 2 8" xfId="2907" xr:uid="{00000000-0005-0000-0000-000057170000}"/>
    <cellStyle name="Обычный 18 3" xfId="2908" xr:uid="{00000000-0005-0000-0000-000058170000}"/>
    <cellStyle name="Обычный 18 3 2" xfId="2909" xr:uid="{00000000-0005-0000-0000-000059170000}"/>
    <cellStyle name="Обычный 18 3 3" xfId="2910" xr:uid="{00000000-0005-0000-0000-00005A170000}"/>
    <cellStyle name="Обычный 18 3 4" xfId="2911" xr:uid="{00000000-0005-0000-0000-00005B170000}"/>
    <cellStyle name="Обычный 18 3 5" xfId="2912" xr:uid="{00000000-0005-0000-0000-00005C170000}"/>
    <cellStyle name="Обычный 18 3 6" xfId="2913" xr:uid="{00000000-0005-0000-0000-00005D170000}"/>
    <cellStyle name="Обычный 18 3 7" xfId="2914" xr:uid="{00000000-0005-0000-0000-00005E170000}"/>
    <cellStyle name="Обычный 18 4" xfId="2915" xr:uid="{00000000-0005-0000-0000-00005F170000}"/>
    <cellStyle name="Обычный 18 5" xfId="2916" xr:uid="{00000000-0005-0000-0000-000060170000}"/>
    <cellStyle name="Обычный 18 6" xfId="2917" xr:uid="{00000000-0005-0000-0000-000061170000}"/>
    <cellStyle name="Обычный 18 7" xfId="2918" xr:uid="{00000000-0005-0000-0000-000062170000}"/>
    <cellStyle name="Обычный 18 8" xfId="2919" xr:uid="{00000000-0005-0000-0000-000063170000}"/>
    <cellStyle name="Обычный 18 9" xfId="2920" xr:uid="{00000000-0005-0000-0000-000064170000}"/>
    <cellStyle name="Обычный 19" xfId="2921" xr:uid="{00000000-0005-0000-0000-000065170000}"/>
    <cellStyle name="Обычный 2" xfId="2922" xr:uid="{00000000-0005-0000-0000-000066170000}"/>
    <cellStyle name="Обычный 2 2" xfId="2923" xr:uid="{00000000-0005-0000-0000-000067170000}"/>
    <cellStyle name="Обычный 2 2 10" xfId="2924" xr:uid="{00000000-0005-0000-0000-000068170000}"/>
    <cellStyle name="Обычный 2 2 11" xfId="2925" xr:uid="{00000000-0005-0000-0000-000069170000}"/>
    <cellStyle name="Обычный 2 2 2" xfId="2926" xr:uid="{00000000-0005-0000-0000-00006A170000}"/>
    <cellStyle name="Обычный 2 2 2 2" xfId="2927" xr:uid="{00000000-0005-0000-0000-00006B170000}"/>
    <cellStyle name="Обычный 2 2 3" xfId="2928" xr:uid="{00000000-0005-0000-0000-00006C170000}"/>
    <cellStyle name="Обычный 2 2 4" xfId="2929" xr:uid="{00000000-0005-0000-0000-00006D170000}"/>
    <cellStyle name="Обычный 2 2 5" xfId="2930" xr:uid="{00000000-0005-0000-0000-00006E170000}"/>
    <cellStyle name="Обычный 2 2 6" xfId="2931" xr:uid="{00000000-0005-0000-0000-00006F170000}"/>
    <cellStyle name="Обычный 2 2 7" xfId="2932" xr:uid="{00000000-0005-0000-0000-000070170000}"/>
    <cellStyle name="Обычный 2 2 8" xfId="2933" xr:uid="{00000000-0005-0000-0000-000071170000}"/>
    <cellStyle name="Обычный 2 2 9" xfId="2934" xr:uid="{00000000-0005-0000-0000-000072170000}"/>
    <cellStyle name="Обычный 2 3" xfId="2935" xr:uid="{00000000-0005-0000-0000-000073170000}"/>
    <cellStyle name="Обычный 2 3 10" xfId="2936" xr:uid="{00000000-0005-0000-0000-000074170000}"/>
    <cellStyle name="Обычный 2 3 2" xfId="2937" xr:uid="{00000000-0005-0000-0000-000075170000}"/>
    <cellStyle name="Обычный 2 3 3" xfId="2938" xr:uid="{00000000-0005-0000-0000-000076170000}"/>
    <cellStyle name="Обычный 2 3 4" xfId="2939" xr:uid="{00000000-0005-0000-0000-000077170000}"/>
    <cellStyle name="Обычный 2 3 5" xfId="2940" xr:uid="{00000000-0005-0000-0000-000078170000}"/>
    <cellStyle name="Обычный 2 3 6" xfId="2941" xr:uid="{00000000-0005-0000-0000-000079170000}"/>
    <cellStyle name="Обычный 2 3 7" xfId="2942" xr:uid="{00000000-0005-0000-0000-00007A170000}"/>
    <cellStyle name="Обычный 2 3 8" xfId="2943" xr:uid="{00000000-0005-0000-0000-00007B170000}"/>
    <cellStyle name="Обычный 2 3 9" xfId="2944" xr:uid="{00000000-0005-0000-0000-00007C170000}"/>
    <cellStyle name="Обычный 2 4" xfId="2945" xr:uid="{00000000-0005-0000-0000-00007D170000}"/>
    <cellStyle name="Обычный 2 4 2" xfId="2946" xr:uid="{00000000-0005-0000-0000-00007E170000}"/>
    <cellStyle name="Обычный 2 4 3" xfId="2947" xr:uid="{00000000-0005-0000-0000-00007F170000}"/>
    <cellStyle name="Обычный 2 4 4" xfId="2948" xr:uid="{00000000-0005-0000-0000-000080170000}"/>
    <cellStyle name="Обычный 2 4 5" xfId="2949" xr:uid="{00000000-0005-0000-0000-000081170000}"/>
    <cellStyle name="Обычный 2 4 6" xfId="2950" xr:uid="{00000000-0005-0000-0000-000082170000}"/>
    <cellStyle name="Обычный 2 4 7" xfId="2951" xr:uid="{00000000-0005-0000-0000-000083170000}"/>
    <cellStyle name="Обычный 2 4 8" xfId="2952" xr:uid="{00000000-0005-0000-0000-000084170000}"/>
    <cellStyle name="Обычный 2 4 9" xfId="2953" xr:uid="{00000000-0005-0000-0000-000085170000}"/>
    <cellStyle name="Обычный 2 5" xfId="2954" xr:uid="{00000000-0005-0000-0000-000086170000}"/>
    <cellStyle name="Обычный 2 5 10" xfId="2955" xr:uid="{00000000-0005-0000-0000-000087170000}"/>
    <cellStyle name="Обычный 2 5 2" xfId="2956" xr:uid="{00000000-0005-0000-0000-000088170000}"/>
    <cellStyle name="Обычный 2 5 3" xfId="2957" xr:uid="{00000000-0005-0000-0000-000089170000}"/>
    <cellStyle name="Обычный 2 5 4" xfId="2958" xr:uid="{00000000-0005-0000-0000-00008A170000}"/>
    <cellStyle name="Обычный 2 5 5" xfId="2959" xr:uid="{00000000-0005-0000-0000-00008B170000}"/>
    <cellStyle name="Обычный 2 5 6" xfId="2960" xr:uid="{00000000-0005-0000-0000-00008C170000}"/>
    <cellStyle name="Обычный 2 5 7" xfId="2961" xr:uid="{00000000-0005-0000-0000-00008D170000}"/>
    <cellStyle name="Обычный 2 5 8" xfId="2962" xr:uid="{00000000-0005-0000-0000-00008E170000}"/>
    <cellStyle name="Обычный 2 5 9" xfId="2963" xr:uid="{00000000-0005-0000-0000-00008F170000}"/>
    <cellStyle name="Обычный 2 6" xfId="2964" xr:uid="{00000000-0005-0000-0000-000090170000}"/>
    <cellStyle name="Обычный 2 7" xfId="2965" xr:uid="{00000000-0005-0000-0000-000091170000}"/>
    <cellStyle name="Обычный 2 7 10" xfId="2966" xr:uid="{00000000-0005-0000-0000-000092170000}"/>
    <cellStyle name="Обычный 2 7 11" xfId="2967" xr:uid="{00000000-0005-0000-0000-000093170000}"/>
    <cellStyle name="Обычный 2 7 12" xfId="2968" xr:uid="{00000000-0005-0000-0000-000094170000}"/>
    <cellStyle name="Обычный 2 7 13" xfId="2969" xr:uid="{00000000-0005-0000-0000-000095170000}"/>
    <cellStyle name="Обычный 2 7 14" xfId="2970" xr:uid="{00000000-0005-0000-0000-000096170000}"/>
    <cellStyle name="Обычный 2 7 2" xfId="2971" xr:uid="{00000000-0005-0000-0000-000097170000}"/>
    <cellStyle name="Обычный 2 7 2 2" xfId="2972" xr:uid="{00000000-0005-0000-0000-000098170000}"/>
    <cellStyle name="Обычный 2 7 2 2 2" xfId="2973" xr:uid="{00000000-0005-0000-0000-000099170000}"/>
    <cellStyle name="Обычный 2 7 2 2 3" xfId="2974" xr:uid="{00000000-0005-0000-0000-00009A170000}"/>
    <cellStyle name="Обычный 2 7 2 2 4" xfId="2975" xr:uid="{00000000-0005-0000-0000-00009B170000}"/>
    <cellStyle name="Обычный 2 7 2 2 5" xfId="2976" xr:uid="{00000000-0005-0000-0000-00009C170000}"/>
    <cellStyle name="Обычный 2 7 2 2 6" xfId="2977" xr:uid="{00000000-0005-0000-0000-00009D170000}"/>
    <cellStyle name="Обычный 2 7 2 2 7" xfId="2978" xr:uid="{00000000-0005-0000-0000-00009E170000}"/>
    <cellStyle name="Обычный 2 7 2 3" xfId="2979" xr:uid="{00000000-0005-0000-0000-00009F170000}"/>
    <cellStyle name="Обычный 2 7 2 4" xfId="2980" xr:uid="{00000000-0005-0000-0000-0000A0170000}"/>
    <cellStyle name="Обычный 2 7 2 5" xfId="2981" xr:uid="{00000000-0005-0000-0000-0000A1170000}"/>
    <cellStyle name="Обычный 2 7 2 6" xfId="2982" xr:uid="{00000000-0005-0000-0000-0000A2170000}"/>
    <cellStyle name="Обычный 2 7 2 7" xfId="2983" xr:uid="{00000000-0005-0000-0000-0000A3170000}"/>
    <cellStyle name="Обычный 2 7 2 8" xfId="2984" xr:uid="{00000000-0005-0000-0000-0000A4170000}"/>
    <cellStyle name="Обычный 2 7 3" xfId="2985" xr:uid="{00000000-0005-0000-0000-0000A5170000}"/>
    <cellStyle name="Обычный 2 7 3 2" xfId="2986" xr:uid="{00000000-0005-0000-0000-0000A6170000}"/>
    <cellStyle name="Обычный 2 7 3 2 2" xfId="2987" xr:uid="{00000000-0005-0000-0000-0000A7170000}"/>
    <cellStyle name="Обычный 2 7 3 2 3" xfId="2988" xr:uid="{00000000-0005-0000-0000-0000A8170000}"/>
    <cellStyle name="Обычный 2 7 3 2 4" xfId="2989" xr:uid="{00000000-0005-0000-0000-0000A9170000}"/>
    <cellStyle name="Обычный 2 7 3 2 5" xfId="2990" xr:uid="{00000000-0005-0000-0000-0000AA170000}"/>
    <cellStyle name="Обычный 2 7 3 2 6" xfId="2991" xr:uid="{00000000-0005-0000-0000-0000AB170000}"/>
    <cellStyle name="Обычный 2 7 3 2 7" xfId="2992" xr:uid="{00000000-0005-0000-0000-0000AC170000}"/>
    <cellStyle name="Обычный 2 7 3 3" xfId="2993" xr:uid="{00000000-0005-0000-0000-0000AD170000}"/>
    <cellStyle name="Обычный 2 7 3 4" xfId="2994" xr:uid="{00000000-0005-0000-0000-0000AE170000}"/>
    <cellStyle name="Обычный 2 7 3 5" xfId="2995" xr:uid="{00000000-0005-0000-0000-0000AF170000}"/>
    <cellStyle name="Обычный 2 7 3 6" xfId="2996" xr:uid="{00000000-0005-0000-0000-0000B0170000}"/>
    <cellStyle name="Обычный 2 7 3 7" xfId="2997" xr:uid="{00000000-0005-0000-0000-0000B1170000}"/>
    <cellStyle name="Обычный 2 7 3 8" xfId="2998" xr:uid="{00000000-0005-0000-0000-0000B2170000}"/>
    <cellStyle name="Обычный 2 7 4" xfId="2999" xr:uid="{00000000-0005-0000-0000-0000B3170000}"/>
    <cellStyle name="Обычный 2 7 4 2" xfId="3000" xr:uid="{00000000-0005-0000-0000-0000B4170000}"/>
    <cellStyle name="Обычный 2 7 4 2 2" xfId="3001" xr:uid="{00000000-0005-0000-0000-0000B5170000}"/>
    <cellStyle name="Обычный 2 7 4 2 3" xfId="3002" xr:uid="{00000000-0005-0000-0000-0000B6170000}"/>
    <cellStyle name="Обычный 2 7 4 2 4" xfId="3003" xr:uid="{00000000-0005-0000-0000-0000B7170000}"/>
    <cellStyle name="Обычный 2 7 4 2 5" xfId="3004" xr:uid="{00000000-0005-0000-0000-0000B8170000}"/>
    <cellStyle name="Обычный 2 7 4 2 6" xfId="3005" xr:uid="{00000000-0005-0000-0000-0000B9170000}"/>
    <cellStyle name="Обычный 2 7 4 2 7" xfId="3006" xr:uid="{00000000-0005-0000-0000-0000BA170000}"/>
    <cellStyle name="Обычный 2 7 4 3" xfId="3007" xr:uid="{00000000-0005-0000-0000-0000BB170000}"/>
    <cellStyle name="Обычный 2 7 4 4" xfId="3008" xr:uid="{00000000-0005-0000-0000-0000BC170000}"/>
    <cellStyle name="Обычный 2 7 4 5" xfId="3009" xr:uid="{00000000-0005-0000-0000-0000BD170000}"/>
    <cellStyle name="Обычный 2 7 4 6" xfId="3010" xr:uid="{00000000-0005-0000-0000-0000BE170000}"/>
    <cellStyle name="Обычный 2 7 4 7" xfId="3011" xr:uid="{00000000-0005-0000-0000-0000BF170000}"/>
    <cellStyle name="Обычный 2 7 4 8" xfId="3012" xr:uid="{00000000-0005-0000-0000-0000C0170000}"/>
    <cellStyle name="Обычный 2 7 5" xfId="3013" xr:uid="{00000000-0005-0000-0000-0000C1170000}"/>
    <cellStyle name="Обычный 2 7 5 2" xfId="3014" xr:uid="{00000000-0005-0000-0000-0000C2170000}"/>
    <cellStyle name="Обычный 2 7 5 2 2" xfId="3015" xr:uid="{00000000-0005-0000-0000-0000C3170000}"/>
    <cellStyle name="Обычный 2 7 5 2 3" xfId="3016" xr:uid="{00000000-0005-0000-0000-0000C4170000}"/>
    <cellStyle name="Обычный 2 7 5 2 4" xfId="3017" xr:uid="{00000000-0005-0000-0000-0000C5170000}"/>
    <cellStyle name="Обычный 2 7 5 2 5" xfId="3018" xr:uid="{00000000-0005-0000-0000-0000C6170000}"/>
    <cellStyle name="Обычный 2 7 5 2 6" xfId="3019" xr:uid="{00000000-0005-0000-0000-0000C7170000}"/>
    <cellStyle name="Обычный 2 7 5 2 7" xfId="3020" xr:uid="{00000000-0005-0000-0000-0000C8170000}"/>
    <cellStyle name="Обычный 2 7 5 3" xfId="3021" xr:uid="{00000000-0005-0000-0000-0000C9170000}"/>
    <cellStyle name="Обычный 2 7 5 4" xfId="3022" xr:uid="{00000000-0005-0000-0000-0000CA170000}"/>
    <cellStyle name="Обычный 2 7 5 5" xfId="3023" xr:uid="{00000000-0005-0000-0000-0000CB170000}"/>
    <cellStyle name="Обычный 2 7 5 6" xfId="3024" xr:uid="{00000000-0005-0000-0000-0000CC170000}"/>
    <cellStyle name="Обычный 2 7 5 7" xfId="3025" xr:uid="{00000000-0005-0000-0000-0000CD170000}"/>
    <cellStyle name="Обычный 2 7 5 8" xfId="3026" xr:uid="{00000000-0005-0000-0000-0000CE170000}"/>
    <cellStyle name="Обычный 2 7 6" xfId="3027" xr:uid="{00000000-0005-0000-0000-0000CF170000}"/>
    <cellStyle name="Обычный 2 7 6 2" xfId="3028" xr:uid="{00000000-0005-0000-0000-0000D0170000}"/>
    <cellStyle name="Обычный 2 7 6 2 2" xfId="3029" xr:uid="{00000000-0005-0000-0000-0000D1170000}"/>
    <cellStyle name="Обычный 2 7 6 2 3" xfId="3030" xr:uid="{00000000-0005-0000-0000-0000D2170000}"/>
    <cellStyle name="Обычный 2 7 6 2 4" xfId="3031" xr:uid="{00000000-0005-0000-0000-0000D3170000}"/>
    <cellStyle name="Обычный 2 7 6 2 5" xfId="3032" xr:uid="{00000000-0005-0000-0000-0000D4170000}"/>
    <cellStyle name="Обычный 2 7 6 2 6" xfId="3033" xr:uid="{00000000-0005-0000-0000-0000D5170000}"/>
    <cellStyle name="Обычный 2 7 6 2 7" xfId="3034" xr:uid="{00000000-0005-0000-0000-0000D6170000}"/>
    <cellStyle name="Обычный 2 7 6 3" xfId="3035" xr:uid="{00000000-0005-0000-0000-0000D7170000}"/>
    <cellStyle name="Обычный 2 7 6 4" xfId="3036" xr:uid="{00000000-0005-0000-0000-0000D8170000}"/>
    <cellStyle name="Обычный 2 7 6 5" xfId="3037" xr:uid="{00000000-0005-0000-0000-0000D9170000}"/>
    <cellStyle name="Обычный 2 7 6 6" xfId="3038" xr:uid="{00000000-0005-0000-0000-0000DA170000}"/>
    <cellStyle name="Обычный 2 7 6 7" xfId="3039" xr:uid="{00000000-0005-0000-0000-0000DB170000}"/>
    <cellStyle name="Обычный 2 7 6 8" xfId="3040" xr:uid="{00000000-0005-0000-0000-0000DC170000}"/>
    <cellStyle name="Обычный 2 7 7" xfId="3041" xr:uid="{00000000-0005-0000-0000-0000DD170000}"/>
    <cellStyle name="Обычный 2 7 7 2" xfId="3042" xr:uid="{00000000-0005-0000-0000-0000DE170000}"/>
    <cellStyle name="Обычный 2 7 7 2 2" xfId="3043" xr:uid="{00000000-0005-0000-0000-0000DF170000}"/>
    <cellStyle name="Обычный 2 7 7 2 3" xfId="3044" xr:uid="{00000000-0005-0000-0000-0000E0170000}"/>
    <cellStyle name="Обычный 2 7 7 2 4" xfId="3045" xr:uid="{00000000-0005-0000-0000-0000E1170000}"/>
    <cellStyle name="Обычный 2 7 7 2 5" xfId="3046" xr:uid="{00000000-0005-0000-0000-0000E2170000}"/>
    <cellStyle name="Обычный 2 7 7 2 6" xfId="3047" xr:uid="{00000000-0005-0000-0000-0000E3170000}"/>
    <cellStyle name="Обычный 2 7 7 2 7" xfId="3048" xr:uid="{00000000-0005-0000-0000-0000E4170000}"/>
    <cellStyle name="Обычный 2 7 7 3" xfId="3049" xr:uid="{00000000-0005-0000-0000-0000E5170000}"/>
    <cellStyle name="Обычный 2 7 7 4" xfId="3050" xr:uid="{00000000-0005-0000-0000-0000E6170000}"/>
    <cellStyle name="Обычный 2 7 7 5" xfId="3051" xr:uid="{00000000-0005-0000-0000-0000E7170000}"/>
    <cellStyle name="Обычный 2 7 7 6" xfId="3052" xr:uid="{00000000-0005-0000-0000-0000E8170000}"/>
    <cellStyle name="Обычный 2 7 7 7" xfId="3053" xr:uid="{00000000-0005-0000-0000-0000E9170000}"/>
    <cellStyle name="Обычный 2 7 7 8" xfId="3054" xr:uid="{00000000-0005-0000-0000-0000EA170000}"/>
    <cellStyle name="Обычный 2 7 8" xfId="3055" xr:uid="{00000000-0005-0000-0000-0000EB170000}"/>
    <cellStyle name="Обычный 2 7 8 2" xfId="3056" xr:uid="{00000000-0005-0000-0000-0000EC170000}"/>
    <cellStyle name="Обычный 2 7 8 3" xfId="3057" xr:uid="{00000000-0005-0000-0000-0000ED170000}"/>
    <cellStyle name="Обычный 2 7 8 4" xfId="3058" xr:uid="{00000000-0005-0000-0000-0000EE170000}"/>
    <cellStyle name="Обычный 2 7 8 5" xfId="3059" xr:uid="{00000000-0005-0000-0000-0000EF170000}"/>
    <cellStyle name="Обычный 2 7 8 6" xfId="3060" xr:uid="{00000000-0005-0000-0000-0000F0170000}"/>
    <cellStyle name="Обычный 2 7 8 7" xfId="3061" xr:uid="{00000000-0005-0000-0000-0000F1170000}"/>
    <cellStyle name="Обычный 2 7 9" xfId="3062" xr:uid="{00000000-0005-0000-0000-0000F2170000}"/>
    <cellStyle name="Обычный 2 8" xfId="3063" xr:uid="{00000000-0005-0000-0000-0000F3170000}"/>
    <cellStyle name="Обычный 2_TP_8000_CUT_8720625_UKR_SDA 9_ WP_Mar 31.2009_fin" xfId="3064" xr:uid="{00000000-0005-0000-0000-0000F4170000}"/>
    <cellStyle name="Обычный 20" xfId="3065" xr:uid="{00000000-0005-0000-0000-0000F5170000}"/>
    <cellStyle name="Обычный 20 10" xfId="3066" xr:uid="{00000000-0005-0000-0000-0000F6170000}"/>
    <cellStyle name="Обычный 20 11" xfId="3067" xr:uid="{00000000-0005-0000-0000-0000F7170000}"/>
    <cellStyle name="Обычный 20 12" xfId="3068" xr:uid="{00000000-0005-0000-0000-0000F8170000}"/>
    <cellStyle name="Обычный 20 13" xfId="3069" xr:uid="{00000000-0005-0000-0000-0000F9170000}"/>
    <cellStyle name="Обычный 20 14" xfId="3070" xr:uid="{00000000-0005-0000-0000-0000FA170000}"/>
    <cellStyle name="Обычный 20 15" xfId="3071" xr:uid="{00000000-0005-0000-0000-0000FB170000}"/>
    <cellStyle name="Обычный 20 2" xfId="3072" xr:uid="{00000000-0005-0000-0000-0000FC170000}"/>
    <cellStyle name="Обычный 20 2 2" xfId="3073" xr:uid="{00000000-0005-0000-0000-0000FD170000}"/>
    <cellStyle name="Обычный 20 2 2 2" xfId="3074" xr:uid="{00000000-0005-0000-0000-0000FE170000}"/>
    <cellStyle name="Обычный 20 2 2 3" xfId="3075" xr:uid="{00000000-0005-0000-0000-0000FF170000}"/>
    <cellStyle name="Обычный 20 2 2 4" xfId="3076" xr:uid="{00000000-0005-0000-0000-000000180000}"/>
    <cellStyle name="Обычный 20 2 2 5" xfId="3077" xr:uid="{00000000-0005-0000-0000-000001180000}"/>
    <cellStyle name="Обычный 20 2 2 6" xfId="3078" xr:uid="{00000000-0005-0000-0000-000002180000}"/>
    <cellStyle name="Обычный 20 2 2 7" xfId="3079" xr:uid="{00000000-0005-0000-0000-000003180000}"/>
    <cellStyle name="Обычный 20 2 3" xfId="3080" xr:uid="{00000000-0005-0000-0000-000004180000}"/>
    <cellStyle name="Обычный 20 2 4" xfId="3081" xr:uid="{00000000-0005-0000-0000-000005180000}"/>
    <cellStyle name="Обычный 20 2 5" xfId="3082" xr:uid="{00000000-0005-0000-0000-000006180000}"/>
    <cellStyle name="Обычный 20 2 6" xfId="3083" xr:uid="{00000000-0005-0000-0000-000007180000}"/>
    <cellStyle name="Обычный 20 2 7" xfId="3084" xr:uid="{00000000-0005-0000-0000-000008180000}"/>
    <cellStyle name="Обычный 20 2 8" xfId="3085" xr:uid="{00000000-0005-0000-0000-000009180000}"/>
    <cellStyle name="Обычный 20 3" xfId="3086" xr:uid="{00000000-0005-0000-0000-00000A180000}"/>
    <cellStyle name="Обычный 20 3 2" xfId="3087" xr:uid="{00000000-0005-0000-0000-00000B180000}"/>
    <cellStyle name="Обычный 20 3 2 2" xfId="3088" xr:uid="{00000000-0005-0000-0000-00000C180000}"/>
    <cellStyle name="Обычный 20 3 2 3" xfId="3089" xr:uid="{00000000-0005-0000-0000-00000D180000}"/>
    <cellStyle name="Обычный 20 3 2 4" xfId="3090" xr:uid="{00000000-0005-0000-0000-00000E180000}"/>
    <cellStyle name="Обычный 20 3 2 5" xfId="3091" xr:uid="{00000000-0005-0000-0000-00000F180000}"/>
    <cellStyle name="Обычный 20 3 2 6" xfId="3092" xr:uid="{00000000-0005-0000-0000-000010180000}"/>
    <cellStyle name="Обычный 20 3 2 7" xfId="3093" xr:uid="{00000000-0005-0000-0000-000011180000}"/>
    <cellStyle name="Обычный 20 3 3" xfId="3094" xr:uid="{00000000-0005-0000-0000-000012180000}"/>
    <cellStyle name="Обычный 20 3 4" xfId="3095" xr:uid="{00000000-0005-0000-0000-000013180000}"/>
    <cellStyle name="Обычный 20 3 5" xfId="3096" xr:uid="{00000000-0005-0000-0000-000014180000}"/>
    <cellStyle name="Обычный 20 3 6" xfId="3097" xr:uid="{00000000-0005-0000-0000-000015180000}"/>
    <cellStyle name="Обычный 20 3 7" xfId="3098" xr:uid="{00000000-0005-0000-0000-000016180000}"/>
    <cellStyle name="Обычный 20 3 8" xfId="3099" xr:uid="{00000000-0005-0000-0000-000017180000}"/>
    <cellStyle name="Обычный 20 4" xfId="3100" xr:uid="{00000000-0005-0000-0000-000018180000}"/>
    <cellStyle name="Обычный 20 4 2" xfId="3101" xr:uid="{00000000-0005-0000-0000-000019180000}"/>
    <cellStyle name="Обычный 20 4 2 2" xfId="3102" xr:uid="{00000000-0005-0000-0000-00001A180000}"/>
    <cellStyle name="Обычный 20 4 2 3" xfId="3103" xr:uid="{00000000-0005-0000-0000-00001B180000}"/>
    <cellStyle name="Обычный 20 4 2 4" xfId="3104" xr:uid="{00000000-0005-0000-0000-00001C180000}"/>
    <cellStyle name="Обычный 20 4 2 5" xfId="3105" xr:uid="{00000000-0005-0000-0000-00001D180000}"/>
    <cellStyle name="Обычный 20 4 2 6" xfId="3106" xr:uid="{00000000-0005-0000-0000-00001E180000}"/>
    <cellStyle name="Обычный 20 4 2 7" xfId="3107" xr:uid="{00000000-0005-0000-0000-00001F180000}"/>
    <cellStyle name="Обычный 20 4 3" xfId="3108" xr:uid="{00000000-0005-0000-0000-000020180000}"/>
    <cellStyle name="Обычный 20 4 4" xfId="3109" xr:uid="{00000000-0005-0000-0000-000021180000}"/>
    <cellStyle name="Обычный 20 4 5" xfId="3110" xr:uid="{00000000-0005-0000-0000-000022180000}"/>
    <cellStyle name="Обычный 20 4 6" xfId="3111" xr:uid="{00000000-0005-0000-0000-000023180000}"/>
    <cellStyle name="Обычный 20 4 7" xfId="3112" xr:uid="{00000000-0005-0000-0000-000024180000}"/>
    <cellStyle name="Обычный 20 4 8" xfId="3113" xr:uid="{00000000-0005-0000-0000-000025180000}"/>
    <cellStyle name="Обычный 20 5" xfId="3114" xr:uid="{00000000-0005-0000-0000-000026180000}"/>
    <cellStyle name="Обычный 20 5 2" xfId="3115" xr:uid="{00000000-0005-0000-0000-000027180000}"/>
    <cellStyle name="Обычный 20 5 2 2" xfId="3116" xr:uid="{00000000-0005-0000-0000-000028180000}"/>
    <cellStyle name="Обычный 20 5 2 3" xfId="3117" xr:uid="{00000000-0005-0000-0000-000029180000}"/>
    <cellStyle name="Обычный 20 5 2 4" xfId="3118" xr:uid="{00000000-0005-0000-0000-00002A180000}"/>
    <cellStyle name="Обычный 20 5 2 5" xfId="3119" xr:uid="{00000000-0005-0000-0000-00002B180000}"/>
    <cellStyle name="Обычный 20 5 2 6" xfId="3120" xr:uid="{00000000-0005-0000-0000-00002C180000}"/>
    <cellStyle name="Обычный 20 5 2 7" xfId="3121" xr:uid="{00000000-0005-0000-0000-00002D180000}"/>
    <cellStyle name="Обычный 20 5 3" xfId="3122" xr:uid="{00000000-0005-0000-0000-00002E180000}"/>
    <cellStyle name="Обычный 20 5 4" xfId="3123" xr:uid="{00000000-0005-0000-0000-00002F180000}"/>
    <cellStyle name="Обычный 20 5 5" xfId="3124" xr:uid="{00000000-0005-0000-0000-000030180000}"/>
    <cellStyle name="Обычный 20 5 6" xfId="3125" xr:uid="{00000000-0005-0000-0000-000031180000}"/>
    <cellStyle name="Обычный 20 5 7" xfId="3126" xr:uid="{00000000-0005-0000-0000-000032180000}"/>
    <cellStyle name="Обычный 20 5 8" xfId="3127" xr:uid="{00000000-0005-0000-0000-000033180000}"/>
    <cellStyle name="Обычный 20 6" xfId="3128" xr:uid="{00000000-0005-0000-0000-000034180000}"/>
    <cellStyle name="Обычный 20 6 2" xfId="3129" xr:uid="{00000000-0005-0000-0000-000035180000}"/>
    <cellStyle name="Обычный 20 6 2 2" xfId="3130" xr:uid="{00000000-0005-0000-0000-000036180000}"/>
    <cellStyle name="Обычный 20 6 2 3" xfId="3131" xr:uid="{00000000-0005-0000-0000-000037180000}"/>
    <cellStyle name="Обычный 20 6 2 4" xfId="3132" xr:uid="{00000000-0005-0000-0000-000038180000}"/>
    <cellStyle name="Обычный 20 6 2 5" xfId="3133" xr:uid="{00000000-0005-0000-0000-000039180000}"/>
    <cellStyle name="Обычный 20 6 2 6" xfId="3134" xr:uid="{00000000-0005-0000-0000-00003A180000}"/>
    <cellStyle name="Обычный 20 6 2 7" xfId="3135" xr:uid="{00000000-0005-0000-0000-00003B180000}"/>
    <cellStyle name="Обычный 20 6 3" xfId="3136" xr:uid="{00000000-0005-0000-0000-00003C180000}"/>
    <cellStyle name="Обычный 20 6 4" xfId="3137" xr:uid="{00000000-0005-0000-0000-00003D180000}"/>
    <cellStyle name="Обычный 20 6 5" xfId="3138" xr:uid="{00000000-0005-0000-0000-00003E180000}"/>
    <cellStyle name="Обычный 20 6 6" xfId="3139" xr:uid="{00000000-0005-0000-0000-00003F180000}"/>
    <cellStyle name="Обычный 20 6 7" xfId="3140" xr:uid="{00000000-0005-0000-0000-000040180000}"/>
    <cellStyle name="Обычный 20 6 8" xfId="3141" xr:uid="{00000000-0005-0000-0000-000041180000}"/>
    <cellStyle name="Обычный 20 7" xfId="3142" xr:uid="{00000000-0005-0000-0000-000042180000}"/>
    <cellStyle name="Обычный 20 7 2" xfId="3143" xr:uid="{00000000-0005-0000-0000-000043180000}"/>
    <cellStyle name="Обычный 20 7 2 2" xfId="3144" xr:uid="{00000000-0005-0000-0000-000044180000}"/>
    <cellStyle name="Обычный 20 7 2 3" xfId="3145" xr:uid="{00000000-0005-0000-0000-000045180000}"/>
    <cellStyle name="Обычный 20 7 2 4" xfId="3146" xr:uid="{00000000-0005-0000-0000-000046180000}"/>
    <cellStyle name="Обычный 20 7 2 5" xfId="3147" xr:uid="{00000000-0005-0000-0000-000047180000}"/>
    <cellStyle name="Обычный 20 7 2 6" xfId="3148" xr:uid="{00000000-0005-0000-0000-000048180000}"/>
    <cellStyle name="Обычный 20 7 2 7" xfId="3149" xr:uid="{00000000-0005-0000-0000-000049180000}"/>
    <cellStyle name="Обычный 20 7 3" xfId="3150" xr:uid="{00000000-0005-0000-0000-00004A180000}"/>
    <cellStyle name="Обычный 20 7 4" xfId="3151" xr:uid="{00000000-0005-0000-0000-00004B180000}"/>
    <cellStyle name="Обычный 20 7 5" xfId="3152" xr:uid="{00000000-0005-0000-0000-00004C180000}"/>
    <cellStyle name="Обычный 20 7 6" xfId="3153" xr:uid="{00000000-0005-0000-0000-00004D180000}"/>
    <cellStyle name="Обычный 20 7 7" xfId="3154" xr:uid="{00000000-0005-0000-0000-00004E180000}"/>
    <cellStyle name="Обычный 20 7 8" xfId="3155" xr:uid="{00000000-0005-0000-0000-00004F180000}"/>
    <cellStyle name="Обычный 20 8" xfId="3156" xr:uid="{00000000-0005-0000-0000-000050180000}"/>
    <cellStyle name="Обычный 20 8 2" xfId="3157" xr:uid="{00000000-0005-0000-0000-000051180000}"/>
    <cellStyle name="Обычный 20 8 2 2" xfId="3158" xr:uid="{00000000-0005-0000-0000-000052180000}"/>
    <cellStyle name="Обычный 20 8 2 3" xfId="3159" xr:uid="{00000000-0005-0000-0000-000053180000}"/>
    <cellStyle name="Обычный 20 8 2 4" xfId="3160" xr:uid="{00000000-0005-0000-0000-000054180000}"/>
    <cellStyle name="Обычный 20 8 2 5" xfId="3161" xr:uid="{00000000-0005-0000-0000-000055180000}"/>
    <cellStyle name="Обычный 20 8 2 6" xfId="3162" xr:uid="{00000000-0005-0000-0000-000056180000}"/>
    <cellStyle name="Обычный 20 8 2 7" xfId="3163" xr:uid="{00000000-0005-0000-0000-000057180000}"/>
    <cellStyle name="Обычный 20 8 3" xfId="3164" xr:uid="{00000000-0005-0000-0000-000058180000}"/>
    <cellStyle name="Обычный 20 8 4" xfId="3165" xr:uid="{00000000-0005-0000-0000-000059180000}"/>
    <cellStyle name="Обычный 20 8 5" xfId="3166" xr:uid="{00000000-0005-0000-0000-00005A180000}"/>
    <cellStyle name="Обычный 20 8 6" xfId="3167" xr:uid="{00000000-0005-0000-0000-00005B180000}"/>
    <cellStyle name="Обычный 20 8 7" xfId="3168" xr:uid="{00000000-0005-0000-0000-00005C180000}"/>
    <cellStyle name="Обычный 20 8 8" xfId="3169" xr:uid="{00000000-0005-0000-0000-00005D180000}"/>
    <cellStyle name="Обычный 20 9" xfId="3170" xr:uid="{00000000-0005-0000-0000-00005E180000}"/>
    <cellStyle name="Обычный 20 9 2" xfId="3171" xr:uid="{00000000-0005-0000-0000-00005F180000}"/>
    <cellStyle name="Обычный 20 9 3" xfId="3172" xr:uid="{00000000-0005-0000-0000-000060180000}"/>
    <cellStyle name="Обычный 20 9 4" xfId="3173" xr:uid="{00000000-0005-0000-0000-000061180000}"/>
    <cellStyle name="Обычный 20 9 5" xfId="3174" xr:uid="{00000000-0005-0000-0000-000062180000}"/>
    <cellStyle name="Обычный 20 9 6" xfId="3175" xr:uid="{00000000-0005-0000-0000-000063180000}"/>
    <cellStyle name="Обычный 20 9 7" xfId="3176" xr:uid="{00000000-0005-0000-0000-000064180000}"/>
    <cellStyle name="Обычный 21" xfId="3177" xr:uid="{00000000-0005-0000-0000-000065180000}"/>
    <cellStyle name="Обычный 21 2" xfId="3178" xr:uid="{00000000-0005-0000-0000-000066180000}"/>
    <cellStyle name="Обычный 21 2 2" xfId="3179" xr:uid="{00000000-0005-0000-0000-000067180000}"/>
    <cellStyle name="Обычный 21 2 3" xfId="3180" xr:uid="{00000000-0005-0000-0000-000068180000}"/>
    <cellStyle name="Обычный 21 2 4" xfId="3181" xr:uid="{00000000-0005-0000-0000-000069180000}"/>
    <cellStyle name="Обычный 21 2 5" xfId="3182" xr:uid="{00000000-0005-0000-0000-00006A180000}"/>
    <cellStyle name="Обычный 21 2 6" xfId="3183" xr:uid="{00000000-0005-0000-0000-00006B180000}"/>
    <cellStyle name="Обычный 21 2 7" xfId="3184" xr:uid="{00000000-0005-0000-0000-00006C180000}"/>
    <cellStyle name="Обычный 21 3" xfId="3185" xr:uid="{00000000-0005-0000-0000-00006D180000}"/>
    <cellStyle name="Обычный 21 4" xfId="3186" xr:uid="{00000000-0005-0000-0000-00006E180000}"/>
    <cellStyle name="Обычный 21 5" xfId="3187" xr:uid="{00000000-0005-0000-0000-00006F180000}"/>
    <cellStyle name="Обычный 21 6" xfId="3188" xr:uid="{00000000-0005-0000-0000-000070180000}"/>
    <cellStyle name="Обычный 21 7" xfId="3189" xr:uid="{00000000-0005-0000-0000-000071180000}"/>
    <cellStyle name="Обычный 21 8" xfId="3190" xr:uid="{00000000-0005-0000-0000-000072180000}"/>
    <cellStyle name="Обычный 22" xfId="3191" xr:uid="{00000000-0005-0000-0000-000073180000}"/>
    <cellStyle name="Обычный 23" xfId="3192" xr:uid="{00000000-0005-0000-0000-000074180000}"/>
    <cellStyle name="Обычный 23 2" xfId="3193" xr:uid="{00000000-0005-0000-0000-000075180000}"/>
    <cellStyle name="Обычный 23 2 2" xfId="3194" xr:uid="{00000000-0005-0000-0000-000076180000}"/>
    <cellStyle name="Обычный 23 2 3" xfId="3195" xr:uid="{00000000-0005-0000-0000-000077180000}"/>
    <cellStyle name="Обычный 23 2 4" xfId="3196" xr:uid="{00000000-0005-0000-0000-000078180000}"/>
    <cellStyle name="Обычный 23 2 5" xfId="3197" xr:uid="{00000000-0005-0000-0000-000079180000}"/>
    <cellStyle name="Обычный 23 2 6" xfId="3198" xr:uid="{00000000-0005-0000-0000-00007A180000}"/>
    <cellStyle name="Обычный 23 2 7" xfId="3199" xr:uid="{00000000-0005-0000-0000-00007B180000}"/>
    <cellStyle name="Обычный 23 3" xfId="3200" xr:uid="{00000000-0005-0000-0000-00007C180000}"/>
    <cellStyle name="Обычный 23 4" xfId="3201" xr:uid="{00000000-0005-0000-0000-00007D180000}"/>
    <cellStyle name="Обычный 23 5" xfId="3202" xr:uid="{00000000-0005-0000-0000-00007E180000}"/>
    <cellStyle name="Обычный 23 6" xfId="3203" xr:uid="{00000000-0005-0000-0000-00007F180000}"/>
    <cellStyle name="Обычный 23 7" xfId="3204" xr:uid="{00000000-0005-0000-0000-000080180000}"/>
    <cellStyle name="Обычный 23 8" xfId="3205" xr:uid="{00000000-0005-0000-0000-000081180000}"/>
    <cellStyle name="Обычный 24" xfId="3206" xr:uid="{00000000-0005-0000-0000-000082180000}"/>
    <cellStyle name="Обычный 24 2" xfId="3207" xr:uid="{00000000-0005-0000-0000-000083180000}"/>
    <cellStyle name="Обычный 24 2 2" xfId="3208" xr:uid="{00000000-0005-0000-0000-000084180000}"/>
    <cellStyle name="Обычный 24 2 3" xfId="3209" xr:uid="{00000000-0005-0000-0000-000085180000}"/>
    <cellStyle name="Обычный 24 2 4" xfId="3210" xr:uid="{00000000-0005-0000-0000-000086180000}"/>
    <cellStyle name="Обычный 24 2 5" xfId="3211" xr:uid="{00000000-0005-0000-0000-000087180000}"/>
    <cellStyle name="Обычный 24 2 6" xfId="3212" xr:uid="{00000000-0005-0000-0000-000088180000}"/>
    <cellStyle name="Обычный 24 2 7" xfId="3213" xr:uid="{00000000-0005-0000-0000-000089180000}"/>
    <cellStyle name="Обычный 24 3" xfId="3214" xr:uid="{00000000-0005-0000-0000-00008A180000}"/>
    <cellStyle name="Обычный 24 4" xfId="3215" xr:uid="{00000000-0005-0000-0000-00008B180000}"/>
    <cellStyle name="Обычный 24 5" xfId="3216" xr:uid="{00000000-0005-0000-0000-00008C180000}"/>
    <cellStyle name="Обычный 24 6" xfId="3217" xr:uid="{00000000-0005-0000-0000-00008D180000}"/>
    <cellStyle name="Обычный 24 7" xfId="3218" xr:uid="{00000000-0005-0000-0000-00008E180000}"/>
    <cellStyle name="Обычный 24 8" xfId="3219" xr:uid="{00000000-0005-0000-0000-00008F180000}"/>
    <cellStyle name="Обычный 25" xfId="3220" xr:uid="{00000000-0005-0000-0000-000090180000}"/>
    <cellStyle name="Обычный 25 2" xfId="3221" xr:uid="{00000000-0005-0000-0000-000091180000}"/>
    <cellStyle name="Обычный 25 2 2" xfId="3222" xr:uid="{00000000-0005-0000-0000-000092180000}"/>
    <cellStyle name="Обычный 25 2 3" xfId="3223" xr:uid="{00000000-0005-0000-0000-000093180000}"/>
    <cellStyle name="Обычный 25 2 4" xfId="3224" xr:uid="{00000000-0005-0000-0000-000094180000}"/>
    <cellStyle name="Обычный 25 2 5" xfId="3225" xr:uid="{00000000-0005-0000-0000-000095180000}"/>
    <cellStyle name="Обычный 25 2 6" xfId="3226" xr:uid="{00000000-0005-0000-0000-000096180000}"/>
    <cellStyle name="Обычный 25 2 7" xfId="3227" xr:uid="{00000000-0005-0000-0000-000097180000}"/>
    <cellStyle name="Обычный 25 3" xfId="3228" xr:uid="{00000000-0005-0000-0000-000098180000}"/>
    <cellStyle name="Обычный 25 4" xfId="3229" xr:uid="{00000000-0005-0000-0000-000099180000}"/>
    <cellStyle name="Обычный 25 5" xfId="3230" xr:uid="{00000000-0005-0000-0000-00009A180000}"/>
    <cellStyle name="Обычный 25 6" xfId="3231" xr:uid="{00000000-0005-0000-0000-00009B180000}"/>
    <cellStyle name="Обычный 25 7" xfId="3232" xr:uid="{00000000-0005-0000-0000-00009C180000}"/>
    <cellStyle name="Обычный 25 8" xfId="3233" xr:uid="{00000000-0005-0000-0000-00009D180000}"/>
    <cellStyle name="Обычный 26" xfId="3234" xr:uid="{00000000-0005-0000-0000-00009E180000}"/>
    <cellStyle name="Обычный 26 2" xfId="3235" xr:uid="{00000000-0005-0000-0000-00009F180000}"/>
    <cellStyle name="Обычный 26 2 2" xfId="3236" xr:uid="{00000000-0005-0000-0000-0000A0180000}"/>
    <cellStyle name="Обычный 26 2 3" xfId="3237" xr:uid="{00000000-0005-0000-0000-0000A1180000}"/>
    <cellStyle name="Обычный 26 2 4" xfId="3238" xr:uid="{00000000-0005-0000-0000-0000A2180000}"/>
    <cellStyle name="Обычный 26 2 5" xfId="3239" xr:uid="{00000000-0005-0000-0000-0000A3180000}"/>
    <cellStyle name="Обычный 26 2 6" xfId="3240" xr:uid="{00000000-0005-0000-0000-0000A4180000}"/>
    <cellStyle name="Обычный 26 2 7" xfId="3241" xr:uid="{00000000-0005-0000-0000-0000A5180000}"/>
    <cellStyle name="Обычный 26 3" xfId="3242" xr:uid="{00000000-0005-0000-0000-0000A6180000}"/>
    <cellStyle name="Обычный 26 4" xfId="3243" xr:uid="{00000000-0005-0000-0000-0000A7180000}"/>
    <cellStyle name="Обычный 26 5" xfId="3244" xr:uid="{00000000-0005-0000-0000-0000A8180000}"/>
    <cellStyle name="Обычный 26 6" xfId="3245" xr:uid="{00000000-0005-0000-0000-0000A9180000}"/>
    <cellStyle name="Обычный 26 7" xfId="3246" xr:uid="{00000000-0005-0000-0000-0000AA180000}"/>
    <cellStyle name="Обычный 26 8" xfId="3247" xr:uid="{00000000-0005-0000-0000-0000AB180000}"/>
    <cellStyle name="Обычный 27" xfId="3248" xr:uid="{00000000-0005-0000-0000-0000AC180000}"/>
    <cellStyle name="Обычный 27 2" xfId="3249" xr:uid="{00000000-0005-0000-0000-0000AD180000}"/>
    <cellStyle name="Обычный 27 2 2" xfId="3250" xr:uid="{00000000-0005-0000-0000-0000AE180000}"/>
    <cellStyle name="Обычный 27 2 3" xfId="3251" xr:uid="{00000000-0005-0000-0000-0000AF180000}"/>
    <cellStyle name="Обычный 27 2 4" xfId="3252" xr:uid="{00000000-0005-0000-0000-0000B0180000}"/>
    <cellStyle name="Обычный 27 2 5" xfId="3253" xr:uid="{00000000-0005-0000-0000-0000B1180000}"/>
    <cellStyle name="Обычный 27 2 6" xfId="3254" xr:uid="{00000000-0005-0000-0000-0000B2180000}"/>
    <cellStyle name="Обычный 27 2 7" xfId="3255" xr:uid="{00000000-0005-0000-0000-0000B3180000}"/>
    <cellStyle name="Обычный 27 3" xfId="3256" xr:uid="{00000000-0005-0000-0000-0000B4180000}"/>
    <cellStyle name="Обычный 27 4" xfId="3257" xr:uid="{00000000-0005-0000-0000-0000B5180000}"/>
    <cellStyle name="Обычный 27 5" xfId="3258" xr:uid="{00000000-0005-0000-0000-0000B6180000}"/>
    <cellStyle name="Обычный 27 6" xfId="3259" xr:uid="{00000000-0005-0000-0000-0000B7180000}"/>
    <cellStyle name="Обычный 27 7" xfId="3260" xr:uid="{00000000-0005-0000-0000-0000B8180000}"/>
    <cellStyle name="Обычный 27 8" xfId="3261" xr:uid="{00000000-0005-0000-0000-0000B9180000}"/>
    <cellStyle name="Обычный 28" xfId="3262" xr:uid="{00000000-0005-0000-0000-0000BA180000}"/>
    <cellStyle name="Обычный 28 2" xfId="3263" xr:uid="{00000000-0005-0000-0000-0000BB180000}"/>
    <cellStyle name="Обычный 28 2 2" xfId="3264" xr:uid="{00000000-0005-0000-0000-0000BC180000}"/>
    <cellStyle name="Обычный 28 2 2 2" xfId="3265" xr:uid="{00000000-0005-0000-0000-0000BD180000}"/>
    <cellStyle name="Обычный 28 2 2 3" xfId="3266" xr:uid="{00000000-0005-0000-0000-0000BE180000}"/>
    <cellStyle name="Обычный 28 2 2 4" xfId="3267" xr:uid="{00000000-0005-0000-0000-0000BF180000}"/>
    <cellStyle name="Обычный 28 2 2 5" xfId="3268" xr:uid="{00000000-0005-0000-0000-0000C0180000}"/>
    <cellStyle name="Обычный 28 2 2 6" xfId="3269" xr:uid="{00000000-0005-0000-0000-0000C1180000}"/>
    <cellStyle name="Обычный 28 2 2 7" xfId="3270" xr:uid="{00000000-0005-0000-0000-0000C2180000}"/>
    <cellStyle name="Обычный 28 2 3" xfId="3271" xr:uid="{00000000-0005-0000-0000-0000C3180000}"/>
    <cellStyle name="Обычный 28 2 4" xfId="3272" xr:uid="{00000000-0005-0000-0000-0000C4180000}"/>
    <cellStyle name="Обычный 28 2 5" xfId="3273" xr:uid="{00000000-0005-0000-0000-0000C5180000}"/>
    <cellStyle name="Обычный 28 2 6" xfId="3274" xr:uid="{00000000-0005-0000-0000-0000C6180000}"/>
    <cellStyle name="Обычный 28 2 7" xfId="3275" xr:uid="{00000000-0005-0000-0000-0000C7180000}"/>
    <cellStyle name="Обычный 28 2 8" xfId="3276" xr:uid="{00000000-0005-0000-0000-0000C8180000}"/>
    <cellStyle name="Обычный 28 3" xfId="3277" xr:uid="{00000000-0005-0000-0000-0000C9180000}"/>
    <cellStyle name="Обычный 28 3 2" xfId="3278" xr:uid="{00000000-0005-0000-0000-0000CA180000}"/>
    <cellStyle name="Обычный 28 3 3" xfId="3279" xr:uid="{00000000-0005-0000-0000-0000CB180000}"/>
    <cellStyle name="Обычный 28 3 4" xfId="3280" xr:uid="{00000000-0005-0000-0000-0000CC180000}"/>
    <cellStyle name="Обычный 28 3 5" xfId="3281" xr:uid="{00000000-0005-0000-0000-0000CD180000}"/>
    <cellStyle name="Обычный 28 3 6" xfId="3282" xr:uid="{00000000-0005-0000-0000-0000CE180000}"/>
    <cellStyle name="Обычный 28 3 7" xfId="3283" xr:uid="{00000000-0005-0000-0000-0000CF180000}"/>
    <cellStyle name="Обычный 28 4" xfId="3284" xr:uid="{00000000-0005-0000-0000-0000D0180000}"/>
    <cellStyle name="Обычный 28 5" xfId="3285" xr:uid="{00000000-0005-0000-0000-0000D1180000}"/>
    <cellStyle name="Обычный 28 6" xfId="3286" xr:uid="{00000000-0005-0000-0000-0000D2180000}"/>
    <cellStyle name="Обычный 28 7" xfId="3287" xr:uid="{00000000-0005-0000-0000-0000D3180000}"/>
    <cellStyle name="Обычный 28 8" xfId="3288" xr:uid="{00000000-0005-0000-0000-0000D4180000}"/>
    <cellStyle name="Обычный 28 9" xfId="3289" xr:uid="{00000000-0005-0000-0000-0000D5180000}"/>
    <cellStyle name="Обычный 29" xfId="3290" xr:uid="{00000000-0005-0000-0000-0000D6180000}"/>
    <cellStyle name="Обычный 29 10" xfId="3291" xr:uid="{00000000-0005-0000-0000-0000D7180000}"/>
    <cellStyle name="Обычный 29 2" xfId="3292" xr:uid="{00000000-0005-0000-0000-0000D8180000}"/>
    <cellStyle name="Обычный 29 2 2" xfId="3293" xr:uid="{00000000-0005-0000-0000-0000D9180000}"/>
    <cellStyle name="Обычный 29 2 2 2" xfId="3294" xr:uid="{00000000-0005-0000-0000-0000DA180000}"/>
    <cellStyle name="Обычный 29 2 2 3" xfId="3295" xr:uid="{00000000-0005-0000-0000-0000DB180000}"/>
    <cellStyle name="Обычный 29 2 2 4" xfId="3296" xr:uid="{00000000-0005-0000-0000-0000DC180000}"/>
    <cellStyle name="Обычный 29 2 2 5" xfId="3297" xr:uid="{00000000-0005-0000-0000-0000DD180000}"/>
    <cellStyle name="Обычный 29 2 2 6" xfId="3298" xr:uid="{00000000-0005-0000-0000-0000DE180000}"/>
    <cellStyle name="Обычный 29 2 2 7" xfId="3299" xr:uid="{00000000-0005-0000-0000-0000DF180000}"/>
    <cellStyle name="Обычный 29 2 3" xfId="3300" xr:uid="{00000000-0005-0000-0000-0000E0180000}"/>
    <cellStyle name="Обычный 29 2 4" xfId="3301" xr:uid="{00000000-0005-0000-0000-0000E1180000}"/>
    <cellStyle name="Обычный 29 2 5" xfId="3302" xr:uid="{00000000-0005-0000-0000-0000E2180000}"/>
    <cellStyle name="Обычный 29 2 6" xfId="3303" xr:uid="{00000000-0005-0000-0000-0000E3180000}"/>
    <cellStyle name="Обычный 29 2 7" xfId="3304" xr:uid="{00000000-0005-0000-0000-0000E4180000}"/>
    <cellStyle name="Обычный 29 2 8" xfId="3305" xr:uid="{00000000-0005-0000-0000-0000E5180000}"/>
    <cellStyle name="Обычный 29 3" xfId="3306" xr:uid="{00000000-0005-0000-0000-0000E6180000}"/>
    <cellStyle name="Обычный 29 3 2" xfId="3307" xr:uid="{00000000-0005-0000-0000-0000E7180000}"/>
    <cellStyle name="Обычный 29 3 3" xfId="3308" xr:uid="{00000000-0005-0000-0000-0000E8180000}"/>
    <cellStyle name="Обычный 29 3 4" xfId="3309" xr:uid="{00000000-0005-0000-0000-0000E9180000}"/>
    <cellStyle name="Обычный 29 3 5" xfId="3310" xr:uid="{00000000-0005-0000-0000-0000EA180000}"/>
    <cellStyle name="Обычный 29 3 6" xfId="3311" xr:uid="{00000000-0005-0000-0000-0000EB180000}"/>
    <cellStyle name="Обычный 29 3 7" xfId="3312" xr:uid="{00000000-0005-0000-0000-0000EC180000}"/>
    <cellStyle name="Обычный 29 4" xfId="3313" xr:uid="{00000000-0005-0000-0000-0000ED180000}"/>
    <cellStyle name="Обычный 29 5" xfId="3314" xr:uid="{00000000-0005-0000-0000-0000EE180000}"/>
    <cellStyle name="Обычный 29 6" xfId="3315" xr:uid="{00000000-0005-0000-0000-0000EF180000}"/>
    <cellStyle name="Обычный 29 7" xfId="3316" xr:uid="{00000000-0005-0000-0000-0000F0180000}"/>
    <cellStyle name="Обычный 29 8" xfId="3317" xr:uid="{00000000-0005-0000-0000-0000F1180000}"/>
    <cellStyle name="Обычный 29 9" xfId="3318" xr:uid="{00000000-0005-0000-0000-0000F2180000}"/>
    <cellStyle name="Обычный 3" xfId="3319" xr:uid="{00000000-0005-0000-0000-0000F3180000}"/>
    <cellStyle name="Обычный 3 10" xfId="3320" xr:uid="{00000000-0005-0000-0000-0000F4180000}"/>
    <cellStyle name="Обычный 3 10 2" xfId="3321" xr:uid="{00000000-0005-0000-0000-0000F5180000}"/>
    <cellStyle name="Обычный 3 10 2 2" xfId="3322" xr:uid="{00000000-0005-0000-0000-0000F6180000}"/>
    <cellStyle name="Обычный 3 10 2 3" xfId="3323" xr:uid="{00000000-0005-0000-0000-0000F7180000}"/>
    <cellStyle name="Обычный 3 10 2 4" xfId="3324" xr:uid="{00000000-0005-0000-0000-0000F8180000}"/>
    <cellStyle name="Обычный 3 10 2 5" xfId="3325" xr:uid="{00000000-0005-0000-0000-0000F9180000}"/>
    <cellStyle name="Обычный 3 10 2 6" xfId="3326" xr:uid="{00000000-0005-0000-0000-0000FA180000}"/>
    <cellStyle name="Обычный 3 10 2 7" xfId="3327" xr:uid="{00000000-0005-0000-0000-0000FB180000}"/>
    <cellStyle name="Обычный 3 10 3" xfId="3328" xr:uid="{00000000-0005-0000-0000-0000FC180000}"/>
    <cellStyle name="Обычный 3 10 4" xfId="3329" xr:uid="{00000000-0005-0000-0000-0000FD180000}"/>
    <cellStyle name="Обычный 3 10 5" xfId="3330" xr:uid="{00000000-0005-0000-0000-0000FE180000}"/>
    <cellStyle name="Обычный 3 10 6" xfId="3331" xr:uid="{00000000-0005-0000-0000-0000FF180000}"/>
    <cellStyle name="Обычный 3 10 7" xfId="3332" xr:uid="{00000000-0005-0000-0000-000000190000}"/>
    <cellStyle name="Обычный 3 10 8" xfId="3333" xr:uid="{00000000-0005-0000-0000-000001190000}"/>
    <cellStyle name="Обычный 3 11" xfId="3334" xr:uid="{00000000-0005-0000-0000-000002190000}"/>
    <cellStyle name="Обычный 3 11 2" xfId="3335" xr:uid="{00000000-0005-0000-0000-000003190000}"/>
    <cellStyle name="Обычный 3 11 2 2" xfId="3336" xr:uid="{00000000-0005-0000-0000-000004190000}"/>
    <cellStyle name="Обычный 3 11 2 3" xfId="3337" xr:uid="{00000000-0005-0000-0000-000005190000}"/>
    <cellStyle name="Обычный 3 11 2 4" xfId="3338" xr:uid="{00000000-0005-0000-0000-000006190000}"/>
    <cellStyle name="Обычный 3 11 2 5" xfId="3339" xr:uid="{00000000-0005-0000-0000-000007190000}"/>
    <cellStyle name="Обычный 3 11 2 6" xfId="3340" xr:uid="{00000000-0005-0000-0000-000008190000}"/>
    <cellStyle name="Обычный 3 11 2 7" xfId="3341" xr:uid="{00000000-0005-0000-0000-000009190000}"/>
    <cellStyle name="Обычный 3 11 3" xfId="3342" xr:uid="{00000000-0005-0000-0000-00000A190000}"/>
    <cellStyle name="Обычный 3 11 4" xfId="3343" xr:uid="{00000000-0005-0000-0000-00000B190000}"/>
    <cellStyle name="Обычный 3 11 5" xfId="3344" xr:uid="{00000000-0005-0000-0000-00000C190000}"/>
    <cellStyle name="Обычный 3 11 6" xfId="3345" xr:uid="{00000000-0005-0000-0000-00000D190000}"/>
    <cellStyle name="Обычный 3 11 7" xfId="3346" xr:uid="{00000000-0005-0000-0000-00000E190000}"/>
    <cellStyle name="Обычный 3 11 8" xfId="3347" xr:uid="{00000000-0005-0000-0000-00000F190000}"/>
    <cellStyle name="Обычный 3 12" xfId="3348" xr:uid="{00000000-0005-0000-0000-000010190000}"/>
    <cellStyle name="Обычный 3 13" xfId="3349" xr:uid="{00000000-0005-0000-0000-000011190000}"/>
    <cellStyle name="Обычный 3 14" xfId="3350" xr:uid="{00000000-0005-0000-0000-000012190000}"/>
    <cellStyle name="Обычный 3 2" xfId="3351" xr:uid="{00000000-0005-0000-0000-000013190000}"/>
    <cellStyle name="Обычный 3 2 2" xfId="3352" xr:uid="{00000000-0005-0000-0000-000014190000}"/>
    <cellStyle name="Обычный 3 2 3" xfId="8117" xr:uid="{00000000-0005-0000-0000-000015190000}"/>
    <cellStyle name="Обычный 3 3" xfId="3353" xr:uid="{00000000-0005-0000-0000-000016190000}"/>
    <cellStyle name="Обычный 3 3 10" xfId="3354" xr:uid="{00000000-0005-0000-0000-000017190000}"/>
    <cellStyle name="Обычный 3 3 11" xfId="3355" xr:uid="{00000000-0005-0000-0000-000018190000}"/>
    <cellStyle name="Обычный 3 3 12" xfId="3356" xr:uid="{00000000-0005-0000-0000-000019190000}"/>
    <cellStyle name="Обычный 3 3 13" xfId="3357" xr:uid="{00000000-0005-0000-0000-00001A190000}"/>
    <cellStyle name="Обычный 3 3 14" xfId="3358" xr:uid="{00000000-0005-0000-0000-00001B190000}"/>
    <cellStyle name="Обычный 3 3 15" xfId="3359" xr:uid="{00000000-0005-0000-0000-00001C190000}"/>
    <cellStyle name="Обычный 3 3 2" xfId="3360" xr:uid="{00000000-0005-0000-0000-00001D190000}"/>
    <cellStyle name="Обычный 3 3 2 2" xfId="3361" xr:uid="{00000000-0005-0000-0000-00001E190000}"/>
    <cellStyle name="Обычный 3 3 2 2 2" xfId="3362" xr:uid="{00000000-0005-0000-0000-00001F190000}"/>
    <cellStyle name="Обычный 3 3 2 2 3" xfId="3363" xr:uid="{00000000-0005-0000-0000-000020190000}"/>
    <cellStyle name="Обычный 3 3 2 2 4" xfId="3364" xr:uid="{00000000-0005-0000-0000-000021190000}"/>
    <cellStyle name="Обычный 3 3 2 2 5" xfId="3365" xr:uid="{00000000-0005-0000-0000-000022190000}"/>
    <cellStyle name="Обычный 3 3 2 2 6" xfId="3366" xr:uid="{00000000-0005-0000-0000-000023190000}"/>
    <cellStyle name="Обычный 3 3 2 2 7" xfId="3367" xr:uid="{00000000-0005-0000-0000-000024190000}"/>
    <cellStyle name="Обычный 3 3 2 3" xfId="3368" xr:uid="{00000000-0005-0000-0000-000025190000}"/>
    <cellStyle name="Обычный 3 3 2 4" xfId="3369" xr:uid="{00000000-0005-0000-0000-000026190000}"/>
    <cellStyle name="Обычный 3 3 2 5" xfId="3370" xr:uid="{00000000-0005-0000-0000-000027190000}"/>
    <cellStyle name="Обычный 3 3 2 6" xfId="3371" xr:uid="{00000000-0005-0000-0000-000028190000}"/>
    <cellStyle name="Обычный 3 3 2 7" xfId="3372" xr:uid="{00000000-0005-0000-0000-000029190000}"/>
    <cellStyle name="Обычный 3 3 2 8" xfId="3373" xr:uid="{00000000-0005-0000-0000-00002A190000}"/>
    <cellStyle name="Обычный 3 3 3" xfId="3374" xr:uid="{00000000-0005-0000-0000-00002B190000}"/>
    <cellStyle name="Обычный 3 3 3 2" xfId="3375" xr:uid="{00000000-0005-0000-0000-00002C190000}"/>
    <cellStyle name="Обычный 3 3 3 2 2" xfId="3376" xr:uid="{00000000-0005-0000-0000-00002D190000}"/>
    <cellStyle name="Обычный 3 3 3 2 3" xfId="3377" xr:uid="{00000000-0005-0000-0000-00002E190000}"/>
    <cellStyle name="Обычный 3 3 3 2 4" xfId="3378" xr:uid="{00000000-0005-0000-0000-00002F190000}"/>
    <cellStyle name="Обычный 3 3 3 2 5" xfId="3379" xr:uid="{00000000-0005-0000-0000-000030190000}"/>
    <cellStyle name="Обычный 3 3 3 2 6" xfId="3380" xr:uid="{00000000-0005-0000-0000-000031190000}"/>
    <cellStyle name="Обычный 3 3 3 2 7" xfId="3381" xr:uid="{00000000-0005-0000-0000-000032190000}"/>
    <cellStyle name="Обычный 3 3 3 3" xfId="3382" xr:uid="{00000000-0005-0000-0000-000033190000}"/>
    <cellStyle name="Обычный 3 3 3 4" xfId="3383" xr:uid="{00000000-0005-0000-0000-000034190000}"/>
    <cellStyle name="Обычный 3 3 3 5" xfId="3384" xr:uid="{00000000-0005-0000-0000-000035190000}"/>
    <cellStyle name="Обычный 3 3 3 6" xfId="3385" xr:uid="{00000000-0005-0000-0000-000036190000}"/>
    <cellStyle name="Обычный 3 3 3 7" xfId="3386" xr:uid="{00000000-0005-0000-0000-000037190000}"/>
    <cellStyle name="Обычный 3 3 3 8" xfId="3387" xr:uid="{00000000-0005-0000-0000-000038190000}"/>
    <cellStyle name="Обычный 3 3 4" xfId="3388" xr:uid="{00000000-0005-0000-0000-000039190000}"/>
    <cellStyle name="Обычный 3 3 4 2" xfId="3389" xr:uid="{00000000-0005-0000-0000-00003A190000}"/>
    <cellStyle name="Обычный 3 3 4 2 2" xfId="3390" xr:uid="{00000000-0005-0000-0000-00003B190000}"/>
    <cellStyle name="Обычный 3 3 4 2 3" xfId="3391" xr:uid="{00000000-0005-0000-0000-00003C190000}"/>
    <cellStyle name="Обычный 3 3 4 2 4" xfId="3392" xr:uid="{00000000-0005-0000-0000-00003D190000}"/>
    <cellStyle name="Обычный 3 3 4 2 5" xfId="3393" xr:uid="{00000000-0005-0000-0000-00003E190000}"/>
    <cellStyle name="Обычный 3 3 4 2 6" xfId="3394" xr:uid="{00000000-0005-0000-0000-00003F190000}"/>
    <cellStyle name="Обычный 3 3 4 2 7" xfId="3395" xr:uid="{00000000-0005-0000-0000-000040190000}"/>
    <cellStyle name="Обычный 3 3 4 3" xfId="3396" xr:uid="{00000000-0005-0000-0000-000041190000}"/>
    <cellStyle name="Обычный 3 3 4 4" xfId="3397" xr:uid="{00000000-0005-0000-0000-000042190000}"/>
    <cellStyle name="Обычный 3 3 4 5" xfId="3398" xr:uid="{00000000-0005-0000-0000-000043190000}"/>
    <cellStyle name="Обычный 3 3 4 6" xfId="3399" xr:uid="{00000000-0005-0000-0000-000044190000}"/>
    <cellStyle name="Обычный 3 3 4 7" xfId="3400" xr:uid="{00000000-0005-0000-0000-000045190000}"/>
    <cellStyle name="Обычный 3 3 4 8" xfId="3401" xr:uid="{00000000-0005-0000-0000-000046190000}"/>
    <cellStyle name="Обычный 3 3 5" xfId="3402" xr:uid="{00000000-0005-0000-0000-000047190000}"/>
    <cellStyle name="Обычный 3 3 5 2" xfId="3403" xr:uid="{00000000-0005-0000-0000-000048190000}"/>
    <cellStyle name="Обычный 3 3 5 2 2" xfId="3404" xr:uid="{00000000-0005-0000-0000-000049190000}"/>
    <cellStyle name="Обычный 3 3 5 2 3" xfId="3405" xr:uid="{00000000-0005-0000-0000-00004A190000}"/>
    <cellStyle name="Обычный 3 3 5 2 4" xfId="3406" xr:uid="{00000000-0005-0000-0000-00004B190000}"/>
    <cellStyle name="Обычный 3 3 5 2 5" xfId="3407" xr:uid="{00000000-0005-0000-0000-00004C190000}"/>
    <cellStyle name="Обычный 3 3 5 2 6" xfId="3408" xr:uid="{00000000-0005-0000-0000-00004D190000}"/>
    <cellStyle name="Обычный 3 3 5 2 7" xfId="3409" xr:uid="{00000000-0005-0000-0000-00004E190000}"/>
    <cellStyle name="Обычный 3 3 5 3" xfId="3410" xr:uid="{00000000-0005-0000-0000-00004F190000}"/>
    <cellStyle name="Обычный 3 3 5 4" xfId="3411" xr:uid="{00000000-0005-0000-0000-000050190000}"/>
    <cellStyle name="Обычный 3 3 5 5" xfId="3412" xr:uid="{00000000-0005-0000-0000-000051190000}"/>
    <cellStyle name="Обычный 3 3 5 6" xfId="3413" xr:uid="{00000000-0005-0000-0000-000052190000}"/>
    <cellStyle name="Обычный 3 3 5 7" xfId="3414" xr:uid="{00000000-0005-0000-0000-000053190000}"/>
    <cellStyle name="Обычный 3 3 5 8" xfId="3415" xr:uid="{00000000-0005-0000-0000-000054190000}"/>
    <cellStyle name="Обычный 3 3 6" xfId="3416" xr:uid="{00000000-0005-0000-0000-000055190000}"/>
    <cellStyle name="Обычный 3 3 6 2" xfId="3417" xr:uid="{00000000-0005-0000-0000-000056190000}"/>
    <cellStyle name="Обычный 3 3 6 2 2" xfId="3418" xr:uid="{00000000-0005-0000-0000-000057190000}"/>
    <cellStyle name="Обычный 3 3 6 2 3" xfId="3419" xr:uid="{00000000-0005-0000-0000-000058190000}"/>
    <cellStyle name="Обычный 3 3 6 2 4" xfId="3420" xr:uid="{00000000-0005-0000-0000-000059190000}"/>
    <cellStyle name="Обычный 3 3 6 2 5" xfId="3421" xr:uid="{00000000-0005-0000-0000-00005A190000}"/>
    <cellStyle name="Обычный 3 3 6 2 6" xfId="3422" xr:uid="{00000000-0005-0000-0000-00005B190000}"/>
    <cellStyle name="Обычный 3 3 6 2 7" xfId="3423" xr:uid="{00000000-0005-0000-0000-00005C190000}"/>
    <cellStyle name="Обычный 3 3 6 3" xfId="3424" xr:uid="{00000000-0005-0000-0000-00005D190000}"/>
    <cellStyle name="Обычный 3 3 6 4" xfId="3425" xr:uid="{00000000-0005-0000-0000-00005E190000}"/>
    <cellStyle name="Обычный 3 3 6 5" xfId="3426" xr:uid="{00000000-0005-0000-0000-00005F190000}"/>
    <cellStyle name="Обычный 3 3 6 6" xfId="3427" xr:uid="{00000000-0005-0000-0000-000060190000}"/>
    <cellStyle name="Обычный 3 3 6 7" xfId="3428" xr:uid="{00000000-0005-0000-0000-000061190000}"/>
    <cellStyle name="Обычный 3 3 6 8" xfId="3429" xr:uid="{00000000-0005-0000-0000-000062190000}"/>
    <cellStyle name="Обычный 3 3 7" xfId="3430" xr:uid="{00000000-0005-0000-0000-000063190000}"/>
    <cellStyle name="Обычный 3 3 7 2" xfId="3431" xr:uid="{00000000-0005-0000-0000-000064190000}"/>
    <cellStyle name="Обычный 3 3 7 2 2" xfId="3432" xr:uid="{00000000-0005-0000-0000-000065190000}"/>
    <cellStyle name="Обычный 3 3 7 2 3" xfId="3433" xr:uid="{00000000-0005-0000-0000-000066190000}"/>
    <cellStyle name="Обычный 3 3 7 2 4" xfId="3434" xr:uid="{00000000-0005-0000-0000-000067190000}"/>
    <cellStyle name="Обычный 3 3 7 2 5" xfId="3435" xr:uid="{00000000-0005-0000-0000-000068190000}"/>
    <cellStyle name="Обычный 3 3 7 2 6" xfId="3436" xr:uid="{00000000-0005-0000-0000-000069190000}"/>
    <cellStyle name="Обычный 3 3 7 2 7" xfId="3437" xr:uid="{00000000-0005-0000-0000-00006A190000}"/>
    <cellStyle name="Обычный 3 3 7 3" xfId="3438" xr:uid="{00000000-0005-0000-0000-00006B190000}"/>
    <cellStyle name="Обычный 3 3 7 4" xfId="3439" xr:uid="{00000000-0005-0000-0000-00006C190000}"/>
    <cellStyle name="Обычный 3 3 7 5" xfId="3440" xr:uid="{00000000-0005-0000-0000-00006D190000}"/>
    <cellStyle name="Обычный 3 3 7 6" xfId="3441" xr:uid="{00000000-0005-0000-0000-00006E190000}"/>
    <cellStyle name="Обычный 3 3 7 7" xfId="3442" xr:uid="{00000000-0005-0000-0000-00006F190000}"/>
    <cellStyle name="Обычный 3 3 7 8" xfId="3443" xr:uid="{00000000-0005-0000-0000-000070190000}"/>
    <cellStyle name="Обычный 3 3 8" xfId="3444" xr:uid="{00000000-0005-0000-0000-000071190000}"/>
    <cellStyle name="Обычный 3 3 8 2" xfId="3445" xr:uid="{00000000-0005-0000-0000-000072190000}"/>
    <cellStyle name="Обычный 3 3 8 3" xfId="3446" xr:uid="{00000000-0005-0000-0000-000073190000}"/>
    <cellStyle name="Обычный 3 3 8 4" xfId="3447" xr:uid="{00000000-0005-0000-0000-000074190000}"/>
    <cellStyle name="Обычный 3 3 8 5" xfId="3448" xr:uid="{00000000-0005-0000-0000-000075190000}"/>
    <cellStyle name="Обычный 3 3 8 6" xfId="3449" xr:uid="{00000000-0005-0000-0000-000076190000}"/>
    <cellStyle name="Обычный 3 3 8 7" xfId="3450" xr:uid="{00000000-0005-0000-0000-000077190000}"/>
    <cellStyle name="Обычный 3 3 9" xfId="3451" xr:uid="{00000000-0005-0000-0000-000078190000}"/>
    <cellStyle name="Обычный 3 3 9 2" xfId="3452" xr:uid="{00000000-0005-0000-0000-000079190000}"/>
    <cellStyle name="Обычный 3 3 9 3" xfId="3453" xr:uid="{00000000-0005-0000-0000-00007A190000}"/>
    <cellStyle name="Обычный 3 3 9 4" xfId="3454" xr:uid="{00000000-0005-0000-0000-00007B190000}"/>
    <cellStyle name="Обычный 3 3 9 5" xfId="3455" xr:uid="{00000000-0005-0000-0000-00007C190000}"/>
    <cellStyle name="Обычный 3 3 9 6" xfId="3456" xr:uid="{00000000-0005-0000-0000-00007D190000}"/>
    <cellStyle name="Обычный 3 3 9 7" xfId="3457" xr:uid="{00000000-0005-0000-0000-00007E190000}"/>
    <cellStyle name="Обычный 3 4" xfId="3458" xr:uid="{00000000-0005-0000-0000-00007F190000}"/>
    <cellStyle name="Обычный 3 4 10" xfId="3459" xr:uid="{00000000-0005-0000-0000-000080190000}"/>
    <cellStyle name="Обычный 3 4 11" xfId="3460" xr:uid="{00000000-0005-0000-0000-000081190000}"/>
    <cellStyle name="Обычный 3 4 12" xfId="3461" xr:uid="{00000000-0005-0000-0000-000082190000}"/>
    <cellStyle name="Обычный 3 4 13" xfId="3462" xr:uid="{00000000-0005-0000-0000-000083190000}"/>
    <cellStyle name="Обычный 3 4 14" xfId="3463" xr:uid="{00000000-0005-0000-0000-000084190000}"/>
    <cellStyle name="Обычный 3 4 15" xfId="3464" xr:uid="{00000000-0005-0000-0000-000085190000}"/>
    <cellStyle name="Обычный 3 4 2" xfId="3465" xr:uid="{00000000-0005-0000-0000-000086190000}"/>
    <cellStyle name="Обычный 3 4 2 10" xfId="3466" xr:uid="{00000000-0005-0000-0000-000087190000}"/>
    <cellStyle name="Обычный 3 4 2 11" xfId="3467" xr:uid="{00000000-0005-0000-0000-000088190000}"/>
    <cellStyle name="Обычный 3 4 2 12" xfId="3468" xr:uid="{00000000-0005-0000-0000-000089190000}"/>
    <cellStyle name="Обычный 3 4 2 13" xfId="3469" xr:uid="{00000000-0005-0000-0000-00008A190000}"/>
    <cellStyle name="Обычный 3 4 2 14" xfId="3470" xr:uid="{00000000-0005-0000-0000-00008B190000}"/>
    <cellStyle name="Обычный 3 4 2 2" xfId="3471" xr:uid="{00000000-0005-0000-0000-00008C190000}"/>
    <cellStyle name="Обычный 3 4 2 2 2" xfId="3472" xr:uid="{00000000-0005-0000-0000-00008D190000}"/>
    <cellStyle name="Обычный 3 4 2 2 2 2" xfId="3473" xr:uid="{00000000-0005-0000-0000-00008E190000}"/>
    <cellStyle name="Обычный 3 4 2 2 2 3" xfId="3474" xr:uid="{00000000-0005-0000-0000-00008F190000}"/>
    <cellStyle name="Обычный 3 4 2 2 2 4" xfId="3475" xr:uid="{00000000-0005-0000-0000-000090190000}"/>
    <cellStyle name="Обычный 3 4 2 2 2 5" xfId="3476" xr:uid="{00000000-0005-0000-0000-000091190000}"/>
    <cellStyle name="Обычный 3 4 2 2 2 6" xfId="3477" xr:uid="{00000000-0005-0000-0000-000092190000}"/>
    <cellStyle name="Обычный 3 4 2 2 2 7" xfId="3478" xr:uid="{00000000-0005-0000-0000-000093190000}"/>
    <cellStyle name="Обычный 3 4 2 2 3" xfId="3479" xr:uid="{00000000-0005-0000-0000-000094190000}"/>
    <cellStyle name="Обычный 3 4 2 2 4" xfId="3480" xr:uid="{00000000-0005-0000-0000-000095190000}"/>
    <cellStyle name="Обычный 3 4 2 2 5" xfId="3481" xr:uid="{00000000-0005-0000-0000-000096190000}"/>
    <cellStyle name="Обычный 3 4 2 2 6" xfId="3482" xr:uid="{00000000-0005-0000-0000-000097190000}"/>
    <cellStyle name="Обычный 3 4 2 2 7" xfId="3483" xr:uid="{00000000-0005-0000-0000-000098190000}"/>
    <cellStyle name="Обычный 3 4 2 2 8" xfId="3484" xr:uid="{00000000-0005-0000-0000-000099190000}"/>
    <cellStyle name="Обычный 3 4 2 3" xfId="3485" xr:uid="{00000000-0005-0000-0000-00009A190000}"/>
    <cellStyle name="Обычный 3 4 2 3 2" xfId="3486" xr:uid="{00000000-0005-0000-0000-00009B190000}"/>
    <cellStyle name="Обычный 3 4 2 3 2 2" xfId="3487" xr:uid="{00000000-0005-0000-0000-00009C190000}"/>
    <cellStyle name="Обычный 3 4 2 3 2 3" xfId="3488" xr:uid="{00000000-0005-0000-0000-00009D190000}"/>
    <cellStyle name="Обычный 3 4 2 3 2 4" xfId="3489" xr:uid="{00000000-0005-0000-0000-00009E190000}"/>
    <cellStyle name="Обычный 3 4 2 3 2 5" xfId="3490" xr:uid="{00000000-0005-0000-0000-00009F190000}"/>
    <cellStyle name="Обычный 3 4 2 3 2 6" xfId="3491" xr:uid="{00000000-0005-0000-0000-0000A0190000}"/>
    <cellStyle name="Обычный 3 4 2 3 2 7" xfId="3492" xr:uid="{00000000-0005-0000-0000-0000A1190000}"/>
    <cellStyle name="Обычный 3 4 2 3 3" xfId="3493" xr:uid="{00000000-0005-0000-0000-0000A2190000}"/>
    <cellStyle name="Обычный 3 4 2 3 4" xfId="3494" xr:uid="{00000000-0005-0000-0000-0000A3190000}"/>
    <cellStyle name="Обычный 3 4 2 3 5" xfId="3495" xr:uid="{00000000-0005-0000-0000-0000A4190000}"/>
    <cellStyle name="Обычный 3 4 2 3 6" xfId="3496" xr:uid="{00000000-0005-0000-0000-0000A5190000}"/>
    <cellStyle name="Обычный 3 4 2 3 7" xfId="3497" xr:uid="{00000000-0005-0000-0000-0000A6190000}"/>
    <cellStyle name="Обычный 3 4 2 3 8" xfId="3498" xr:uid="{00000000-0005-0000-0000-0000A7190000}"/>
    <cellStyle name="Обычный 3 4 2 4" xfId="3499" xr:uid="{00000000-0005-0000-0000-0000A8190000}"/>
    <cellStyle name="Обычный 3 4 2 4 2" xfId="3500" xr:uid="{00000000-0005-0000-0000-0000A9190000}"/>
    <cellStyle name="Обычный 3 4 2 4 2 2" xfId="3501" xr:uid="{00000000-0005-0000-0000-0000AA190000}"/>
    <cellStyle name="Обычный 3 4 2 4 2 3" xfId="3502" xr:uid="{00000000-0005-0000-0000-0000AB190000}"/>
    <cellStyle name="Обычный 3 4 2 4 2 4" xfId="3503" xr:uid="{00000000-0005-0000-0000-0000AC190000}"/>
    <cellStyle name="Обычный 3 4 2 4 2 5" xfId="3504" xr:uid="{00000000-0005-0000-0000-0000AD190000}"/>
    <cellStyle name="Обычный 3 4 2 4 2 6" xfId="3505" xr:uid="{00000000-0005-0000-0000-0000AE190000}"/>
    <cellStyle name="Обычный 3 4 2 4 2 7" xfId="3506" xr:uid="{00000000-0005-0000-0000-0000AF190000}"/>
    <cellStyle name="Обычный 3 4 2 4 3" xfId="3507" xr:uid="{00000000-0005-0000-0000-0000B0190000}"/>
    <cellStyle name="Обычный 3 4 2 4 4" xfId="3508" xr:uid="{00000000-0005-0000-0000-0000B1190000}"/>
    <cellStyle name="Обычный 3 4 2 4 5" xfId="3509" xr:uid="{00000000-0005-0000-0000-0000B2190000}"/>
    <cellStyle name="Обычный 3 4 2 4 6" xfId="3510" xr:uid="{00000000-0005-0000-0000-0000B3190000}"/>
    <cellStyle name="Обычный 3 4 2 4 7" xfId="3511" xr:uid="{00000000-0005-0000-0000-0000B4190000}"/>
    <cellStyle name="Обычный 3 4 2 4 8" xfId="3512" xr:uid="{00000000-0005-0000-0000-0000B5190000}"/>
    <cellStyle name="Обычный 3 4 2 5" xfId="3513" xr:uid="{00000000-0005-0000-0000-0000B6190000}"/>
    <cellStyle name="Обычный 3 4 2 5 2" xfId="3514" xr:uid="{00000000-0005-0000-0000-0000B7190000}"/>
    <cellStyle name="Обычный 3 4 2 5 2 2" xfId="3515" xr:uid="{00000000-0005-0000-0000-0000B8190000}"/>
    <cellStyle name="Обычный 3 4 2 5 2 3" xfId="3516" xr:uid="{00000000-0005-0000-0000-0000B9190000}"/>
    <cellStyle name="Обычный 3 4 2 5 2 4" xfId="3517" xr:uid="{00000000-0005-0000-0000-0000BA190000}"/>
    <cellStyle name="Обычный 3 4 2 5 2 5" xfId="3518" xr:uid="{00000000-0005-0000-0000-0000BB190000}"/>
    <cellStyle name="Обычный 3 4 2 5 2 6" xfId="3519" xr:uid="{00000000-0005-0000-0000-0000BC190000}"/>
    <cellStyle name="Обычный 3 4 2 5 2 7" xfId="3520" xr:uid="{00000000-0005-0000-0000-0000BD190000}"/>
    <cellStyle name="Обычный 3 4 2 5 3" xfId="3521" xr:uid="{00000000-0005-0000-0000-0000BE190000}"/>
    <cellStyle name="Обычный 3 4 2 5 4" xfId="3522" xr:uid="{00000000-0005-0000-0000-0000BF190000}"/>
    <cellStyle name="Обычный 3 4 2 5 5" xfId="3523" xr:uid="{00000000-0005-0000-0000-0000C0190000}"/>
    <cellStyle name="Обычный 3 4 2 5 6" xfId="3524" xr:uid="{00000000-0005-0000-0000-0000C1190000}"/>
    <cellStyle name="Обычный 3 4 2 5 7" xfId="3525" xr:uid="{00000000-0005-0000-0000-0000C2190000}"/>
    <cellStyle name="Обычный 3 4 2 5 8" xfId="3526" xr:uid="{00000000-0005-0000-0000-0000C3190000}"/>
    <cellStyle name="Обычный 3 4 2 6" xfId="3527" xr:uid="{00000000-0005-0000-0000-0000C4190000}"/>
    <cellStyle name="Обычный 3 4 2 6 2" xfId="3528" xr:uid="{00000000-0005-0000-0000-0000C5190000}"/>
    <cellStyle name="Обычный 3 4 2 6 2 2" xfId="3529" xr:uid="{00000000-0005-0000-0000-0000C6190000}"/>
    <cellStyle name="Обычный 3 4 2 6 2 3" xfId="3530" xr:uid="{00000000-0005-0000-0000-0000C7190000}"/>
    <cellStyle name="Обычный 3 4 2 6 2 4" xfId="3531" xr:uid="{00000000-0005-0000-0000-0000C8190000}"/>
    <cellStyle name="Обычный 3 4 2 6 2 5" xfId="3532" xr:uid="{00000000-0005-0000-0000-0000C9190000}"/>
    <cellStyle name="Обычный 3 4 2 6 2 6" xfId="3533" xr:uid="{00000000-0005-0000-0000-0000CA190000}"/>
    <cellStyle name="Обычный 3 4 2 6 2 7" xfId="3534" xr:uid="{00000000-0005-0000-0000-0000CB190000}"/>
    <cellStyle name="Обычный 3 4 2 6 3" xfId="3535" xr:uid="{00000000-0005-0000-0000-0000CC190000}"/>
    <cellStyle name="Обычный 3 4 2 6 4" xfId="3536" xr:uid="{00000000-0005-0000-0000-0000CD190000}"/>
    <cellStyle name="Обычный 3 4 2 6 5" xfId="3537" xr:uid="{00000000-0005-0000-0000-0000CE190000}"/>
    <cellStyle name="Обычный 3 4 2 6 6" xfId="3538" xr:uid="{00000000-0005-0000-0000-0000CF190000}"/>
    <cellStyle name="Обычный 3 4 2 6 7" xfId="3539" xr:uid="{00000000-0005-0000-0000-0000D0190000}"/>
    <cellStyle name="Обычный 3 4 2 6 8" xfId="3540" xr:uid="{00000000-0005-0000-0000-0000D1190000}"/>
    <cellStyle name="Обычный 3 4 2 7" xfId="3541" xr:uid="{00000000-0005-0000-0000-0000D2190000}"/>
    <cellStyle name="Обычный 3 4 2 7 2" xfId="3542" xr:uid="{00000000-0005-0000-0000-0000D3190000}"/>
    <cellStyle name="Обычный 3 4 2 7 2 2" xfId="3543" xr:uid="{00000000-0005-0000-0000-0000D4190000}"/>
    <cellStyle name="Обычный 3 4 2 7 2 3" xfId="3544" xr:uid="{00000000-0005-0000-0000-0000D5190000}"/>
    <cellStyle name="Обычный 3 4 2 7 2 4" xfId="3545" xr:uid="{00000000-0005-0000-0000-0000D6190000}"/>
    <cellStyle name="Обычный 3 4 2 7 2 5" xfId="3546" xr:uid="{00000000-0005-0000-0000-0000D7190000}"/>
    <cellStyle name="Обычный 3 4 2 7 2 6" xfId="3547" xr:uid="{00000000-0005-0000-0000-0000D8190000}"/>
    <cellStyle name="Обычный 3 4 2 7 2 7" xfId="3548" xr:uid="{00000000-0005-0000-0000-0000D9190000}"/>
    <cellStyle name="Обычный 3 4 2 7 3" xfId="3549" xr:uid="{00000000-0005-0000-0000-0000DA190000}"/>
    <cellStyle name="Обычный 3 4 2 7 4" xfId="3550" xr:uid="{00000000-0005-0000-0000-0000DB190000}"/>
    <cellStyle name="Обычный 3 4 2 7 5" xfId="3551" xr:uid="{00000000-0005-0000-0000-0000DC190000}"/>
    <cellStyle name="Обычный 3 4 2 7 6" xfId="3552" xr:uid="{00000000-0005-0000-0000-0000DD190000}"/>
    <cellStyle name="Обычный 3 4 2 7 7" xfId="3553" xr:uid="{00000000-0005-0000-0000-0000DE190000}"/>
    <cellStyle name="Обычный 3 4 2 7 8" xfId="3554" xr:uid="{00000000-0005-0000-0000-0000DF190000}"/>
    <cellStyle name="Обычный 3 4 2 8" xfId="3555" xr:uid="{00000000-0005-0000-0000-0000E0190000}"/>
    <cellStyle name="Обычный 3 4 2 8 2" xfId="3556" xr:uid="{00000000-0005-0000-0000-0000E1190000}"/>
    <cellStyle name="Обычный 3 4 2 8 3" xfId="3557" xr:uid="{00000000-0005-0000-0000-0000E2190000}"/>
    <cellStyle name="Обычный 3 4 2 8 4" xfId="3558" xr:uid="{00000000-0005-0000-0000-0000E3190000}"/>
    <cellStyle name="Обычный 3 4 2 8 5" xfId="3559" xr:uid="{00000000-0005-0000-0000-0000E4190000}"/>
    <cellStyle name="Обычный 3 4 2 8 6" xfId="3560" xr:uid="{00000000-0005-0000-0000-0000E5190000}"/>
    <cellStyle name="Обычный 3 4 2 8 7" xfId="3561" xr:uid="{00000000-0005-0000-0000-0000E6190000}"/>
    <cellStyle name="Обычный 3 4 2 9" xfId="3562" xr:uid="{00000000-0005-0000-0000-0000E7190000}"/>
    <cellStyle name="Обычный 3 4 3" xfId="3563" xr:uid="{00000000-0005-0000-0000-0000E8190000}"/>
    <cellStyle name="Обычный 3 4 3 2" xfId="3564" xr:uid="{00000000-0005-0000-0000-0000E9190000}"/>
    <cellStyle name="Обычный 3 4 3 2 2" xfId="3565" xr:uid="{00000000-0005-0000-0000-0000EA190000}"/>
    <cellStyle name="Обычный 3 4 3 2 3" xfId="3566" xr:uid="{00000000-0005-0000-0000-0000EB190000}"/>
    <cellStyle name="Обычный 3 4 3 2 4" xfId="3567" xr:uid="{00000000-0005-0000-0000-0000EC190000}"/>
    <cellStyle name="Обычный 3 4 3 2 5" xfId="3568" xr:uid="{00000000-0005-0000-0000-0000ED190000}"/>
    <cellStyle name="Обычный 3 4 3 2 6" xfId="3569" xr:uid="{00000000-0005-0000-0000-0000EE190000}"/>
    <cellStyle name="Обычный 3 4 3 2 7" xfId="3570" xr:uid="{00000000-0005-0000-0000-0000EF190000}"/>
    <cellStyle name="Обычный 3 4 3 3" xfId="3571" xr:uid="{00000000-0005-0000-0000-0000F0190000}"/>
    <cellStyle name="Обычный 3 4 3 4" xfId="3572" xr:uid="{00000000-0005-0000-0000-0000F1190000}"/>
    <cellStyle name="Обычный 3 4 3 5" xfId="3573" xr:uid="{00000000-0005-0000-0000-0000F2190000}"/>
    <cellStyle name="Обычный 3 4 3 6" xfId="3574" xr:uid="{00000000-0005-0000-0000-0000F3190000}"/>
    <cellStyle name="Обычный 3 4 3 7" xfId="3575" xr:uid="{00000000-0005-0000-0000-0000F4190000}"/>
    <cellStyle name="Обычный 3 4 3 8" xfId="3576" xr:uid="{00000000-0005-0000-0000-0000F5190000}"/>
    <cellStyle name="Обычный 3 4 4" xfId="3577" xr:uid="{00000000-0005-0000-0000-0000F6190000}"/>
    <cellStyle name="Обычный 3 4 4 2" xfId="3578" xr:uid="{00000000-0005-0000-0000-0000F7190000}"/>
    <cellStyle name="Обычный 3 4 4 2 2" xfId="3579" xr:uid="{00000000-0005-0000-0000-0000F8190000}"/>
    <cellStyle name="Обычный 3 4 4 2 3" xfId="3580" xr:uid="{00000000-0005-0000-0000-0000F9190000}"/>
    <cellStyle name="Обычный 3 4 4 2 4" xfId="3581" xr:uid="{00000000-0005-0000-0000-0000FA190000}"/>
    <cellStyle name="Обычный 3 4 4 2 5" xfId="3582" xr:uid="{00000000-0005-0000-0000-0000FB190000}"/>
    <cellStyle name="Обычный 3 4 4 2 6" xfId="3583" xr:uid="{00000000-0005-0000-0000-0000FC190000}"/>
    <cellStyle name="Обычный 3 4 4 2 7" xfId="3584" xr:uid="{00000000-0005-0000-0000-0000FD190000}"/>
    <cellStyle name="Обычный 3 4 4 3" xfId="3585" xr:uid="{00000000-0005-0000-0000-0000FE190000}"/>
    <cellStyle name="Обычный 3 4 4 4" xfId="3586" xr:uid="{00000000-0005-0000-0000-0000FF190000}"/>
    <cellStyle name="Обычный 3 4 4 5" xfId="3587" xr:uid="{00000000-0005-0000-0000-0000001A0000}"/>
    <cellStyle name="Обычный 3 4 4 6" xfId="3588" xr:uid="{00000000-0005-0000-0000-0000011A0000}"/>
    <cellStyle name="Обычный 3 4 4 7" xfId="3589" xr:uid="{00000000-0005-0000-0000-0000021A0000}"/>
    <cellStyle name="Обычный 3 4 4 8" xfId="3590" xr:uid="{00000000-0005-0000-0000-0000031A0000}"/>
    <cellStyle name="Обычный 3 4 5" xfId="3591" xr:uid="{00000000-0005-0000-0000-0000041A0000}"/>
    <cellStyle name="Обычный 3 4 5 2" xfId="3592" xr:uid="{00000000-0005-0000-0000-0000051A0000}"/>
    <cellStyle name="Обычный 3 4 5 2 2" xfId="3593" xr:uid="{00000000-0005-0000-0000-0000061A0000}"/>
    <cellStyle name="Обычный 3 4 5 2 3" xfId="3594" xr:uid="{00000000-0005-0000-0000-0000071A0000}"/>
    <cellStyle name="Обычный 3 4 5 2 4" xfId="3595" xr:uid="{00000000-0005-0000-0000-0000081A0000}"/>
    <cellStyle name="Обычный 3 4 5 2 5" xfId="3596" xr:uid="{00000000-0005-0000-0000-0000091A0000}"/>
    <cellStyle name="Обычный 3 4 5 2 6" xfId="3597" xr:uid="{00000000-0005-0000-0000-00000A1A0000}"/>
    <cellStyle name="Обычный 3 4 5 2 7" xfId="3598" xr:uid="{00000000-0005-0000-0000-00000B1A0000}"/>
    <cellStyle name="Обычный 3 4 5 3" xfId="3599" xr:uid="{00000000-0005-0000-0000-00000C1A0000}"/>
    <cellStyle name="Обычный 3 4 5 4" xfId="3600" xr:uid="{00000000-0005-0000-0000-00000D1A0000}"/>
    <cellStyle name="Обычный 3 4 5 5" xfId="3601" xr:uid="{00000000-0005-0000-0000-00000E1A0000}"/>
    <cellStyle name="Обычный 3 4 5 6" xfId="3602" xr:uid="{00000000-0005-0000-0000-00000F1A0000}"/>
    <cellStyle name="Обычный 3 4 5 7" xfId="3603" xr:uid="{00000000-0005-0000-0000-0000101A0000}"/>
    <cellStyle name="Обычный 3 4 5 8" xfId="3604" xr:uid="{00000000-0005-0000-0000-0000111A0000}"/>
    <cellStyle name="Обычный 3 4 6" xfId="3605" xr:uid="{00000000-0005-0000-0000-0000121A0000}"/>
    <cellStyle name="Обычный 3 4 6 2" xfId="3606" xr:uid="{00000000-0005-0000-0000-0000131A0000}"/>
    <cellStyle name="Обычный 3 4 6 2 2" xfId="3607" xr:uid="{00000000-0005-0000-0000-0000141A0000}"/>
    <cellStyle name="Обычный 3 4 6 2 3" xfId="3608" xr:uid="{00000000-0005-0000-0000-0000151A0000}"/>
    <cellStyle name="Обычный 3 4 6 2 4" xfId="3609" xr:uid="{00000000-0005-0000-0000-0000161A0000}"/>
    <cellStyle name="Обычный 3 4 6 2 5" xfId="3610" xr:uid="{00000000-0005-0000-0000-0000171A0000}"/>
    <cellStyle name="Обычный 3 4 6 2 6" xfId="3611" xr:uid="{00000000-0005-0000-0000-0000181A0000}"/>
    <cellStyle name="Обычный 3 4 6 2 7" xfId="3612" xr:uid="{00000000-0005-0000-0000-0000191A0000}"/>
    <cellStyle name="Обычный 3 4 6 3" xfId="3613" xr:uid="{00000000-0005-0000-0000-00001A1A0000}"/>
    <cellStyle name="Обычный 3 4 6 4" xfId="3614" xr:uid="{00000000-0005-0000-0000-00001B1A0000}"/>
    <cellStyle name="Обычный 3 4 6 5" xfId="3615" xr:uid="{00000000-0005-0000-0000-00001C1A0000}"/>
    <cellStyle name="Обычный 3 4 6 6" xfId="3616" xr:uid="{00000000-0005-0000-0000-00001D1A0000}"/>
    <cellStyle name="Обычный 3 4 6 7" xfId="3617" xr:uid="{00000000-0005-0000-0000-00001E1A0000}"/>
    <cellStyle name="Обычный 3 4 6 8" xfId="3618" xr:uid="{00000000-0005-0000-0000-00001F1A0000}"/>
    <cellStyle name="Обычный 3 4 7" xfId="3619" xr:uid="{00000000-0005-0000-0000-0000201A0000}"/>
    <cellStyle name="Обычный 3 4 7 2" xfId="3620" xr:uid="{00000000-0005-0000-0000-0000211A0000}"/>
    <cellStyle name="Обычный 3 4 7 2 2" xfId="3621" xr:uid="{00000000-0005-0000-0000-0000221A0000}"/>
    <cellStyle name="Обычный 3 4 7 2 3" xfId="3622" xr:uid="{00000000-0005-0000-0000-0000231A0000}"/>
    <cellStyle name="Обычный 3 4 7 2 4" xfId="3623" xr:uid="{00000000-0005-0000-0000-0000241A0000}"/>
    <cellStyle name="Обычный 3 4 7 2 5" xfId="3624" xr:uid="{00000000-0005-0000-0000-0000251A0000}"/>
    <cellStyle name="Обычный 3 4 7 2 6" xfId="3625" xr:uid="{00000000-0005-0000-0000-0000261A0000}"/>
    <cellStyle name="Обычный 3 4 7 2 7" xfId="3626" xr:uid="{00000000-0005-0000-0000-0000271A0000}"/>
    <cellStyle name="Обычный 3 4 7 3" xfId="3627" xr:uid="{00000000-0005-0000-0000-0000281A0000}"/>
    <cellStyle name="Обычный 3 4 7 4" xfId="3628" xr:uid="{00000000-0005-0000-0000-0000291A0000}"/>
    <cellStyle name="Обычный 3 4 7 5" xfId="3629" xr:uid="{00000000-0005-0000-0000-00002A1A0000}"/>
    <cellStyle name="Обычный 3 4 7 6" xfId="3630" xr:uid="{00000000-0005-0000-0000-00002B1A0000}"/>
    <cellStyle name="Обычный 3 4 7 7" xfId="3631" xr:uid="{00000000-0005-0000-0000-00002C1A0000}"/>
    <cellStyle name="Обычный 3 4 7 8" xfId="3632" xr:uid="{00000000-0005-0000-0000-00002D1A0000}"/>
    <cellStyle name="Обычный 3 4 8" xfId="3633" xr:uid="{00000000-0005-0000-0000-00002E1A0000}"/>
    <cellStyle name="Обычный 3 4 8 2" xfId="3634" xr:uid="{00000000-0005-0000-0000-00002F1A0000}"/>
    <cellStyle name="Обычный 3 4 8 2 2" xfId="3635" xr:uid="{00000000-0005-0000-0000-0000301A0000}"/>
    <cellStyle name="Обычный 3 4 8 2 3" xfId="3636" xr:uid="{00000000-0005-0000-0000-0000311A0000}"/>
    <cellStyle name="Обычный 3 4 8 2 4" xfId="3637" xr:uid="{00000000-0005-0000-0000-0000321A0000}"/>
    <cellStyle name="Обычный 3 4 8 2 5" xfId="3638" xr:uid="{00000000-0005-0000-0000-0000331A0000}"/>
    <cellStyle name="Обычный 3 4 8 2 6" xfId="3639" xr:uid="{00000000-0005-0000-0000-0000341A0000}"/>
    <cellStyle name="Обычный 3 4 8 2 7" xfId="3640" xr:uid="{00000000-0005-0000-0000-0000351A0000}"/>
    <cellStyle name="Обычный 3 4 8 3" xfId="3641" xr:uid="{00000000-0005-0000-0000-0000361A0000}"/>
    <cellStyle name="Обычный 3 4 8 4" xfId="3642" xr:uid="{00000000-0005-0000-0000-0000371A0000}"/>
    <cellStyle name="Обычный 3 4 8 5" xfId="3643" xr:uid="{00000000-0005-0000-0000-0000381A0000}"/>
    <cellStyle name="Обычный 3 4 8 6" xfId="3644" xr:uid="{00000000-0005-0000-0000-0000391A0000}"/>
    <cellStyle name="Обычный 3 4 8 7" xfId="3645" xr:uid="{00000000-0005-0000-0000-00003A1A0000}"/>
    <cellStyle name="Обычный 3 4 8 8" xfId="3646" xr:uid="{00000000-0005-0000-0000-00003B1A0000}"/>
    <cellStyle name="Обычный 3 4 9" xfId="3647" xr:uid="{00000000-0005-0000-0000-00003C1A0000}"/>
    <cellStyle name="Обычный 3 4 9 2" xfId="3648" xr:uid="{00000000-0005-0000-0000-00003D1A0000}"/>
    <cellStyle name="Обычный 3 4 9 3" xfId="3649" xr:uid="{00000000-0005-0000-0000-00003E1A0000}"/>
    <cellStyle name="Обычный 3 4 9 4" xfId="3650" xr:uid="{00000000-0005-0000-0000-00003F1A0000}"/>
    <cellStyle name="Обычный 3 4 9 5" xfId="3651" xr:uid="{00000000-0005-0000-0000-0000401A0000}"/>
    <cellStyle name="Обычный 3 4 9 6" xfId="3652" xr:uid="{00000000-0005-0000-0000-0000411A0000}"/>
    <cellStyle name="Обычный 3 4 9 7" xfId="3653" xr:uid="{00000000-0005-0000-0000-0000421A0000}"/>
    <cellStyle name="Обычный 3 5" xfId="3654" xr:uid="{00000000-0005-0000-0000-0000431A0000}"/>
    <cellStyle name="Обычный 3 5 2" xfId="3655" xr:uid="{00000000-0005-0000-0000-0000441A0000}"/>
    <cellStyle name="Обычный 3 6" xfId="3656" xr:uid="{00000000-0005-0000-0000-0000451A0000}"/>
    <cellStyle name="Обычный 3 6 2" xfId="3657" xr:uid="{00000000-0005-0000-0000-0000461A0000}"/>
    <cellStyle name="Обычный 3 6 2 2" xfId="3658" xr:uid="{00000000-0005-0000-0000-0000471A0000}"/>
    <cellStyle name="Обычный 3 6 2 3" xfId="3659" xr:uid="{00000000-0005-0000-0000-0000481A0000}"/>
    <cellStyle name="Обычный 3 6 2 4" xfId="3660" xr:uid="{00000000-0005-0000-0000-0000491A0000}"/>
    <cellStyle name="Обычный 3 6 2 5" xfId="3661" xr:uid="{00000000-0005-0000-0000-00004A1A0000}"/>
    <cellStyle name="Обычный 3 6 2 6" xfId="3662" xr:uid="{00000000-0005-0000-0000-00004B1A0000}"/>
    <cellStyle name="Обычный 3 6 2 7" xfId="3663" xr:uid="{00000000-0005-0000-0000-00004C1A0000}"/>
    <cellStyle name="Обычный 3 6 3" xfId="3664" xr:uid="{00000000-0005-0000-0000-00004D1A0000}"/>
    <cellStyle name="Обычный 3 6 4" xfId="3665" xr:uid="{00000000-0005-0000-0000-00004E1A0000}"/>
    <cellStyle name="Обычный 3 6 5" xfId="3666" xr:uid="{00000000-0005-0000-0000-00004F1A0000}"/>
    <cellStyle name="Обычный 3 6 6" xfId="3667" xr:uid="{00000000-0005-0000-0000-0000501A0000}"/>
    <cellStyle name="Обычный 3 6 7" xfId="3668" xr:uid="{00000000-0005-0000-0000-0000511A0000}"/>
    <cellStyle name="Обычный 3 6 8" xfId="3669" xr:uid="{00000000-0005-0000-0000-0000521A0000}"/>
    <cellStyle name="Обычный 3 7" xfId="3670" xr:uid="{00000000-0005-0000-0000-0000531A0000}"/>
    <cellStyle name="Обычный 3 7 2" xfId="3671" xr:uid="{00000000-0005-0000-0000-0000541A0000}"/>
    <cellStyle name="Обычный 3 7 2 2" xfId="3672" xr:uid="{00000000-0005-0000-0000-0000551A0000}"/>
    <cellStyle name="Обычный 3 7 2 3" xfId="3673" xr:uid="{00000000-0005-0000-0000-0000561A0000}"/>
    <cellStyle name="Обычный 3 7 2 4" xfId="3674" xr:uid="{00000000-0005-0000-0000-0000571A0000}"/>
    <cellStyle name="Обычный 3 7 2 5" xfId="3675" xr:uid="{00000000-0005-0000-0000-0000581A0000}"/>
    <cellStyle name="Обычный 3 7 2 6" xfId="3676" xr:uid="{00000000-0005-0000-0000-0000591A0000}"/>
    <cellStyle name="Обычный 3 7 2 7" xfId="3677" xr:uid="{00000000-0005-0000-0000-00005A1A0000}"/>
    <cellStyle name="Обычный 3 7 3" xfId="3678" xr:uid="{00000000-0005-0000-0000-00005B1A0000}"/>
    <cellStyle name="Обычный 3 7 4" xfId="3679" xr:uid="{00000000-0005-0000-0000-00005C1A0000}"/>
    <cellStyle name="Обычный 3 7 5" xfId="3680" xr:uid="{00000000-0005-0000-0000-00005D1A0000}"/>
    <cellStyle name="Обычный 3 7 6" xfId="3681" xr:uid="{00000000-0005-0000-0000-00005E1A0000}"/>
    <cellStyle name="Обычный 3 7 7" xfId="3682" xr:uid="{00000000-0005-0000-0000-00005F1A0000}"/>
    <cellStyle name="Обычный 3 7 8" xfId="3683" xr:uid="{00000000-0005-0000-0000-0000601A0000}"/>
    <cellStyle name="Обычный 3 8" xfId="3684" xr:uid="{00000000-0005-0000-0000-0000611A0000}"/>
    <cellStyle name="Обычный 3 8 2" xfId="3685" xr:uid="{00000000-0005-0000-0000-0000621A0000}"/>
    <cellStyle name="Обычный 3 8 2 2" xfId="3686" xr:uid="{00000000-0005-0000-0000-0000631A0000}"/>
    <cellStyle name="Обычный 3 8 2 3" xfId="3687" xr:uid="{00000000-0005-0000-0000-0000641A0000}"/>
    <cellStyle name="Обычный 3 8 2 4" xfId="3688" xr:uid="{00000000-0005-0000-0000-0000651A0000}"/>
    <cellStyle name="Обычный 3 8 2 5" xfId="3689" xr:uid="{00000000-0005-0000-0000-0000661A0000}"/>
    <cellStyle name="Обычный 3 8 2 6" xfId="3690" xr:uid="{00000000-0005-0000-0000-0000671A0000}"/>
    <cellStyle name="Обычный 3 8 2 7" xfId="3691" xr:uid="{00000000-0005-0000-0000-0000681A0000}"/>
    <cellStyle name="Обычный 3 8 3" xfId="3692" xr:uid="{00000000-0005-0000-0000-0000691A0000}"/>
    <cellStyle name="Обычный 3 8 4" xfId="3693" xr:uid="{00000000-0005-0000-0000-00006A1A0000}"/>
    <cellStyle name="Обычный 3 8 5" xfId="3694" xr:uid="{00000000-0005-0000-0000-00006B1A0000}"/>
    <cellStyle name="Обычный 3 8 6" xfId="3695" xr:uid="{00000000-0005-0000-0000-00006C1A0000}"/>
    <cellStyle name="Обычный 3 8 7" xfId="3696" xr:uid="{00000000-0005-0000-0000-00006D1A0000}"/>
    <cellStyle name="Обычный 3 8 8" xfId="3697" xr:uid="{00000000-0005-0000-0000-00006E1A0000}"/>
    <cellStyle name="Обычный 3 9" xfId="3698" xr:uid="{00000000-0005-0000-0000-00006F1A0000}"/>
    <cellStyle name="Обычный 3 9 2" xfId="3699" xr:uid="{00000000-0005-0000-0000-0000701A0000}"/>
    <cellStyle name="Обычный 3 9 2 2" xfId="3700" xr:uid="{00000000-0005-0000-0000-0000711A0000}"/>
    <cellStyle name="Обычный 3 9 2 3" xfId="3701" xr:uid="{00000000-0005-0000-0000-0000721A0000}"/>
    <cellStyle name="Обычный 3 9 2 4" xfId="3702" xr:uid="{00000000-0005-0000-0000-0000731A0000}"/>
    <cellStyle name="Обычный 3 9 2 5" xfId="3703" xr:uid="{00000000-0005-0000-0000-0000741A0000}"/>
    <cellStyle name="Обычный 3 9 2 6" xfId="3704" xr:uid="{00000000-0005-0000-0000-0000751A0000}"/>
    <cellStyle name="Обычный 3 9 2 7" xfId="3705" xr:uid="{00000000-0005-0000-0000-0000761A0000}"/>
    <cellStyle name="Обычный 3 9 3" xfId="3706" xr:uid="{00000000-0005-0000-0000-0000771A0000}"/>
    <cellStyle name="Обычный 3 9 4" xfId="3707" xr:uid="{00000000-0005-0000-0000-0000781A0000}"/>
    <cellStyle name="Обычный 3 9 5" xfId="3708" xr:uid="{00000000-0005-0000-0000-0000791A0000}"/>
    <cellStyle name="Обычный 3 9 6" xfId="3709" xr:uid="{00000000-0005-0000-0000-00007A1A0000}"/>
    <cellStyle name="Обычный 3 9 7" xfId="3710" xr:uid="{00000000-0005-0000-0000-00007B1A0000}"/>
    <cellStyle name="Обычный 3 9 8" xfId="3711" xr:uid="{00000000-0005-0000-0000-00007C1A0000}"/>
    <cellStyle name="Обычный 30" xfId="3712" xr:uid="{00000000-0005-0000-0000-00007D1A0000}"/>
    <cellStyle name="Обычный 30 2" xfId="3713" xr:uid="{00000000-0005-0000-0000-00007E1A0000}"/>
    <cellStyle name="Обычный 30 2 2" xfId="3714" xr:uid="{00000000-0005-0000-0000-00007F1A0000}"/>
    <cellStyle name="Обычный 30 2 3" xfId="3715" xr:uid="{00000000-0005-0000-0000-0000801A0000}"/>
    <cellStyle name="Обычный 30 2 4" xfId="3716" xr:uid="{00000000-0005-0000-0000-0000811A0000}"/>
    <cellStyle name="Обычный 30 2 5" xfId="3717" xr:uid="{00000000-0005-0000-0000-0000821A0000}"/>
    <cellStyle name="Обычный 30 2 6" xfId="3718" xr:uid="{00000000-0005-0000-0000-0000831A0000}"/>
    <cellStyle name="Обычный 30 2 7" xfId="3719" xr:uid="{00000000-0005-0000-0000-0000841A0000}"/>
    <cellStyle name="Обычный 30 3" xfId="3720" xr:uid="{00000000-0005-0000-0000-0000851A0000}"/>
    <cellStyle name="Обычный 30 4" xfId="3721" xr:uid="{00000000-0005-0000-0000-0000861A0000}"/>
    <cellStyle name="Обычный 30 5" xfId="3722" xr:uid="{00000000-0005-0000-0000-0000871A0000}"/>
    <cellStyle name="Обычный 30 6" xfId="3723" xr:uid="{00000000-0005-0000-0000-0000881A0000}"/>
    <cellStyle name="Обычный 30 7" xfId="3724" xr:uid="{00000000-0005-0000-0000-0000891A0000}"/>
    <cellStyle name="Обычный 30 8" xfId="3725" xr:uid="{00000000-0005-0000-0000-00008A1A0000}"/>
    <cellStyle name="Обычный 31" xfId="3726" xr:uid="{00000000-0005-0000-0000-00008B1A0000}"/>
    <cellStyle name="Обычный 32" xfId="3727" xr:uid="{00000000-0005-0000-0000-00008C1A0000}"/>
    <cellStyle name="Обычный 33" xfId="3728" xr:uid="{00000000-0005-0000-0000-00008D1A0000}"/>
    <cellStyle name="Обычный 34" xfId="3729" xr:uid="{00000000-0005-0000-0000-00008E1A0000}"/>
    <cellStyle name="Обычный 35" xfId="3730" xr:uid="{00000000-0005-0000-0000-00008F1A0000}"/>
    <cellStyle name="Обычный 36" xfId="3731" xr:uid="{00000000-0005-0000-0000-0000901A0000}"/>
    <cellStyle name="Обычный 37" xfId="3732" xr:uid="{00000000-0005-0000-0000-0000911A0000}"/>
    <cellStyle name="Обычный 38" xfId="3733" xr:uid="{00000000-0005-0000-0000-0000921A0000}"/>
    <cellStyle name="Обычный 39" xfId="3734" xr:uid="{00000000-0005-0000-0000-0000931A0000}"/>
    <cellStyle name="Обычный 4" xfId="3735" xr:uid="{00000000-0005-0000-0000-0000941A0000}"/>
    <cellStyle name="Обычный 4 10" xfId="3736" xr:uid="{00000000-0005-0000-0000-0000951A0000}"/>
    <cellStyle name="Обычный 4 11" xfId="3737" xr:uid="{00000000-0005-0000-0000-0000961A0000}"/>
    <cellStyle name="Обычный 4 2" xfId="3738" xr:uid="{00000000-0005-0000-0000-0000971A0000}"/>
    <cellStyle name="Обычный 4 2 10" xfId="3739" xr:uid="{00000000-0005-0000-0000-0000981A0000}"/>
    <cellStyle name="Обычный 4 2 11" xfId="3740" xr:uid="{00000000-0005-0000-0000-0000991A0000}"/>
    <cellStyle name="Обычный 4 2 2" xfId="3741" xr:uid="{00000000-0005-0000-0000-00009A1A0000}"/>
    <cellStyle name="Обычный 4 2 3" xfId="3742" xr:uid="{00000000-0005-0000-0000-00009B1A0000}"/>
    <cellStyle name="Обычный 4 2 4" xfId="3743" xr:uid="{00000000-0005-0000-0000-00009C1A0000}"/>
    <cellStyle name="Обычный 4 2 5" xfId="3744" xr:uid="{00000000-0005-0000-0000-00009D1A0000}"/>
    <cellStyle name="Обычный 4 2 6" xfId="3745" xr:uid="{00000000-0005-0000-0000-00009E1A0000}"/>
    <cellStyle name="Обычный 4 2 7" xfId="3746" xr:uid="{00000000-0005-0000-0000-00009F1A0000}"/>
    <cellStyle name="Обычный 4 2 8" xfId="3747" xr:uid="{00000000-0005-0000-0000-0000A01A0000}"/>
    <cellStyle name="Обычный 4 2 9" xfId="3748" xr:uid="{00000000-0005-0000-0000-0000A11A0000}"/>
    <cellStyle name="Обычный 4 3" xfId="3749" xr:uid="{00000000-0005-0000-0000-0000A21A0000}"/>
    <cellStyle name="Обычный 4 3 2" xfId="3750" xr:uid="{00000000-0005-0000-0000-0000A31A0000}"/>
    <cellStyle name="Обычный 4 3 2 2" xfId="3751" xr:uid="{00000000-0005-0000-0000-0000A41A0000}"/>
    <cellStyle name="Обычный 4 3 2 3" xfId="3752" xr:uid="{00000000-0005-0000-0000-0000A51A0000}"/>
    <cellStyle name="Обычный 4 3 2 4" xfId="3753" xr:uid="{00000000-0005-0000-0000-0000A61A0000}"/>
    <cellStyle name="Обычный 4 3 2 5" xfId="3754" xr:uid="{00000000-0005-0000-0000-0000A71A0000}"/>
    <cellStyle name="Обычный 4 3 2 6" xfId="3755" xr:uid="{00000000-0005-0000-0000-0000A81A0000}"/>
    <cellStyle name="Обычный 4 3 2 7" xfId="3756" xr:uid="{00000000-0005-0000-0000-0000A91A0000}"/>
    <cellStyle name="Обычный 4 4" xfId="3757" xr:uid="{00000000-0005-0000-0000-0000AA1A0000}"/>
    <cellStyle name="Обычный 4 5" xfId="3758" xr:uid="{00000000-0005-0000-0000-0000AB1A0000}"/>
    <cellStyle name="Обычный 4 6" xfId="3759" xr:uid="{00000000-0005-0000-0000-0000AC1A0000}"/>
    <cellStyle name="Обычный 4 7" xfId="3760" xr:uid="{00000000-0005-0000-0000-0000AD1A0000}"/>
    <cellStyle name="Обычный 4 8" xfId="3761" xr:uid="{00000000-0005-0000-0000-0000AE1A0000}"/>
    <cellStyle name="Обычный 4 9" xfId="3762" xr:uid="{00000000-0005-0000-0000-0000AF1A0000}"/>
    <cellStyle name="Обычный 40" xfId="3763" xr:uid="{00000000-0005-0000-0000-0000B01A0000}"/>
    <cellStyle name="Обычный 41" xfId="3764" xr:uid="{00000000-0005-0000-0000-0000B11A0000}"/>
    <cellStyle name="Обычный 42" xfId="3765" xr:uid="{00000000-0005-0000-0000-0000B21A0000}"/>
    <cellStyle name="Обычный 43" xfId="3766" xr:uid="{00000000-0005-0000-0000-0000B31A0000}"/>
    <cellStyle name="Обычный 44" xfId="3767" xr:uid="{00000000-0005-0000-0000-0000B41A0000}"/>
    <cellStyle name="Обычный 45" xfId="3768" xr:uid="{00000000-0005-0000-0000-0000B51A0000}"/>
    <cellStyle name="Обычный 46" xfId="3769" xr:uid="{00000000-0005-0000-0000-0000B61A0000}"/>
    <cellStyle name="Обычный 47" xfId="3770" xr:uid="{00000000-0005-0000-0000-0000B71A0000}"/>
    <cellStyle name="Обычный 48" xfId="3771" xr:uid="{00000000-0005-0000-0000-0000B81A0000}"/>
    <cellStyle name="Обычный 49" xfId="3772" xr:uid="{00000000-0005-0000-0000-0000B91A0000}"/>
    <cellStyle name="Обычный 49 2" xfId="3773" xr:uid="{00000000-0005-0000-0000-0000BA1A0000}"/>
    <cellStyle name="Обычный 49 2 2" xfId="3774" xr:uid="{00000000-0005-0000-0000-0000BB1A0000}"/>
    <cellStyle name="Обычный 49 2 3" xfId="3775" xr:uid="{00000000-0005-0000-0000-0000BC1A0000}"/>
    <cellStyle name="Обычный 49 2 4" xfId="3776" xr:uid="{00000000-0005-0000-0000-0000BD1A0000}"/>
    <cellStyle name="Обычный 49 2 5" xfId="3777" xr:uid="{00000000-0005-0000-0000-0000BE1A0000}"/>
    <cellStyle name="Обычный 49 2 6" xfId="3778" xr:uid="{00000000-0005-0000-0000-0000BF1A0000}"/>
    <cellStyle name="Обычный 49 2 7" xfId="3779" xr:uid="{00000000-0005-0000-0000-0000C01A0000}"/>
    <cellStyle name="Обычный 49 3" xfId="3780" xr:uid="{00000000-0005-0000-0000-0000C11A0000}"/>
    <cellStyle name="Обычный 49 4" xfId="3781" xr:uid="{00000000-0005-0000-0000-0000C21A0000}"/>
    <cellStyle name="Обычный 49 5" xfId="3782" xr:uid="{00000000-0005-0000-0000-0000C31A0000}"/>
    <cellStyle name="Обычный 49 6" xfId="3783" xr:uid="{00000000-0005-0000-0000-0000C41A0000}"/>
    <cellStyle name="Обычный 49 7" xfId="3784" xr:uid="{00000000-0005-0000-0000-0000C51A0000}"/>
    <cellStyle name="Обычный 49 8" xfId="3785" xr:uid="{00000000-0005-0000-0000-0000C61A0000}"/>
    <cellStyle name="Обычный 5" xfId="3786" xr:uid="{00000000-0005-0000-0000-0000C71A0000}"/>
    <cellStyle name="Обычный 5 10" xfId="3787" xr:uid="{00000000-0005-0000-0000-0000C81A0000}"/>
    <cellStyle name="Обычный 5 11" xfId="3788" xr:uid="{00000000-0005-0000-0000-0000C91A0000}"/>
    <cellStyle name="Обычный 5 2" xfId="3789" xr:uid="{00000000-0005-0000-0000-0000CA1A0000}"/>
    <cellStyle name="Обычный 5 3" xfId="3790" xr:uid="{00000000-0005-0000-0000-0000CB1A0000}"/>
    <cellStyle name="Обычный 5 4" xfId="3791" xr:uid="{00000000-0005-0000-0000-0000CC1A0000}"/>
    <cellStyle name="Обычный 5 4 2" xfId="3792" xr:uid="{00000000-0005-0000-0000-0000CD1A0000}"/>
    <cellStyle name="Обычный 5 4 2 2" xfId="3793" xr:uid="{00000000-0005-0000-0000-0000CE1A0000}"/>
    <cellStyle name="Обычный 5 4 2 3" xfId="3794" xr:uid="{00000000-0005-0000-0000-0000CF1A0000}"/>
    <cellStyle name="Обычный 5 4 2 4" xfId="3795" xr:uid="{00000000-0005-0000-0000-0000D01A0000}"/>
    <cellStyle name="Обычный 5 4 2 5" xfId="3796" xr:uid="{00000000-0005-0000-0000-0000D11A0000}"/>
    <cellStyle name="Обычный 5 4 2 6" xfId="3797" xr:uid="{00000000-0005-0000-0000-0000D21A0000}"/>
    <cellStyle name="Обычный 5 4 2 7" xfId="3798" xr:uid="{00000000-0005-0000-0000-0000D31A0000}"/>
    <cellStyle name="Обычный 5 5" xfId="3799" xr:uid="{00000000-0005-0000-0000-0000D41A0000}"/>
    <cellStyle name="Обычный 5 6" xfId="3800" xr:uid="{00000000-0005-0000-0000-0000D51A0000}"/>
    <cellStyle name="Обычный 5 7" xfId="3801" xr:uid="{00000000-0005-0000-0000-0000D61A0000}"/>
    <cellStyle name="Обычный 5 8" xfId="3802" xr:uid="{00000000-0005-0000-0000-0000D71A0000}"/>
    <cellStyle name="Обычный 5 9" xfId="3803" xr:uid="{00000000-0005-0000-0000-0000D81A0000}"/>
    <cellStyle name="Обычный 50" xfId="3804" xr:uid="{00000000-0005-0000-0000-0000D91A0000}"/>
    <cellStyle name="Обычный 50 2" xfId="3805" xr:uid="{00000000-0005-0000-0000-0000DA1A0000}"/>
    <cellStyle name="Обычный 50 2 2" xfId="3806" xr:uid="{00000000-0005-0000-0000-0000DB1A0000}"/>
    <cellStyle name="Обычный 50 3" xfId="3807" xr:uid="{00000000-0005-0000-0000-0000DC1A0000}"/>
    <cellStyle name="Обычный 50 4" xfId="3808" xr:uid="{00000000-0005-0000-0000-0000DD1A0000}"/>
    <cellStyle name="Обычный 50 5" xfId="3809" xr:uid="{00000000-0005-0000-0000-0000DE1A0000}"/>
    <cellStyle name="Обычный 50 6" xfId="3810" xr:uid="{00000000-0005-0000-0000-0000DF1A0000}"/>
    <cellStyle name="Обычный 50 7" xfId="3811" xr:uid="{00000000-0005-0000-0000-0000E01A0000}"/>
    <cellStyle name="Обычный 51" xfId="3812" xr:uid="{00000000-0005-0000-0000-0000E11A0000}"/>
    <cellStyle name="Обычный 52" xfId="3813" xr:uid="{00000000-0005-0000-0000-0000E21A0000}"/>
    <cellStyle name="Обычный 52 2" xfId="3814" xr:uid="{00000000-0005-0000-0000-0000E31A0000}"/>
    <cellStyle name="Обычный 52 3" xfId="3815" xr:uid="{00000000-0005-0000-0000-0000E41A0000}"/>
    <cellStyle name="Обычный 52 3 2" xfId="3816" xr:uid="{00000000-0005-0000-0000-0000E51A0000}"/>
    <cellStyle name="Обычный 52 4" xfId="3817" xr:uid="{00000000-0005-0000-0000-0000E61A0000}"/>
    <cellStyle name="Обычный 52 5" xfId="3818" xr:uid="{00000000-0005-0000-0000-0000E71A0000}"/>
    <cellStyle name="Обычный 52 6" xfId="3819" xr:uid="{00000000-0005-0000-0000-0000E81A0000}"/>
    <cellStyle name="Обычный 52 7" xfId="3820" xr:uid="{00000000-0005-0000-0000-0000E91A0000}"/>
    <cellStyle name="Обычный 53" xfId="3821" xr:uid="{00000000-0005-0000-0000-0000EA1A0000}"/>
    <cellStyle name="Обычный 54" xfId="3822" xr:uid="{00000000-0005-0000-0000-0000EB1A0000}"/>
    <cellStyle name="Обычный 55" xfId="3823" xr:uid="{00000000-0005-0000-0000-0000EC1A0000}"/>
    <cellStyle name="Обычный 56" xfId="3824" xr:uid="{00000000-0005-0000-0000-0000ED1A0000}"/>
    <cellStyle name="Обычный 57" xfId="3825" xr:uid="{00000000-0005-0000-0000-0000EE1A0000}"/>
    <cellStyle name="Обычный 58" xfId="3826" xr:uid="{00000000-0005-0000-0000-0000EF1A0000}"/>
    <cellStyle name="Обычный 59" xfId="3827" xr:uid="{00000000-0005-0000-0000-0000F01A0000}"/>
    <cellStyle name="Обычный 6" xfId="3828" xr:uid="{00000000-0005-0000-0000-0000F11A0000}"/>
    <cellStyle name="Обычный 6 10" xfId="3829" xr:uid="{00000000-0005-0000-0000-0000F21A0000}"/>
    <cellStyle name="Обычный 6 11" xfId="3830" xr:uid="{00000000-0005-0000-0000-0000F31A0000}"/>
    <cellStyle name="Обычный 6 2" xfId="3831" xr:uid="{00000000-0005-0000-0000-0000F41A0000}"/>
    <cellStyle name="Обычный 6 2 2" xfId="3832" xr:uid="{00000000-0005-0000-0000-0000F51A0000}"/>
    <cellStyle name="Обычный 6 3" xfId="3833" xr:uid="{00000000-0005-0000-0000-0000F61A0000}"/>
    <cellStyle name="Обычный 6 3 2" xfId="3834" xr:uid="{00000000-0005-0000-0000-0000F71A0000}"/>
    <cellStyle name="Обычный 6 3 2 2" xfId="3835" xr:uid="{00000000-0005-0000-0000-0000F81A0000}"/>
    <cellStyle name="Обычный 6 3 2 3" xfId="3836" xr:uid="{00000000-0005-0000-0000-0000F91A0000}"/>
    <cellStyle name="Обычный 6 3 2 4" xfId="3837" xr:uid="{00000000-0005-0000-0000-0000FA1A0000}"/>
    <cellStyle name="Обычный 6 3 2 5" xfId="3838" xr:uid="{00000000-0005-0000-0000-0000FB1A0000}"/>
    <cellStyle name="Обычный 6 3 2 6" xfId="3839" xr:uid="{00000000-0005-0000-0000-0000FC1A0000}"/>
    <cellStyle name="Обычный 6 3 2 7" xfId="3840" xr:uid="{00000000-0005-0000-0000-0000FD1A0000}"/>
    <cellStyle name="Обычный 6 4" xfId="3841" xr:uid="{00000000-0005-0000-0000-0000FE1A0000}"/>
    <cellStyle name="Обычный 6 5" xfId="3842" xr:uid="{00000000-0005-0000-0000-0000FF1A0000}"/>
    <cellStyle name="Обычный 6 6" xfId="3843" xr:uid="{00000000-0005-0000-0000-0000001B0000}"/>
    <cellStyle name="Обычный 6 7" xfId="3844" xr:uid="{00000000-0005-0000-0000-0000011B0000}"/>
    <cellStyle name="Обычный 6 8" xfId="3845" xr:uid="{00000000-0005-0000-0000-0000021B0000}"/>
    <cellStyle name="Обычный 6 9" xfId="3846" xr:uid="{00000000-0005-0000-0000-0000031B0000}"/>
    <cellStyle name="Обычный 60" xfId="3847" xr:uid="{00000000-0005-0000-0000-0000041B0000}"/>
    <cellStyle name="Обычный 61" xfId="3848" xr:uid="{00000000-0005-0000-0000-0000051B0000}"/>
    <cellStyle name="Обычный 62" xfId="3849" xr:uid="{00000000-0005-0000-0000-0000061B0000}"/>
    <cellStyle name="Обычный 63" xfId="3850" xr:uid="{00000000-0005-0000-0000-0000071B0000}"/>
    <cellStyle name="Обычный 64" xfId="3851" xr:uid="{00000000-0005-0000-0000-0000081B0000}"/>
    <cellStyle name="Обычный 65" xfId="3852" xr:uid="{00000000-0005-0000-0000-0000091B0000}"/>
    <cellStyle name="Обычный 66" xfId="3853" xr:uid="{00000000-0005-0000-0000-00000A1B0000}"/>
    <cellStyle name="Обычный 67" xfId="3854" xr:uid="{00000000-0005-0000-0000-00000B1B0000}"/>
    <cellStyle name="Обычный 68" xfId="3855" xr:uid="{00000000-0005-0000-0000-00000C1B0000}"/>
    <cellStyle name="Обычный 69" xfId="3856" xr:uid="{00000000-0005-0000-0000-00000D1B0000}"/>
    <cellStyle name="Обычный 7" xfId="3857" xr:uid="{00000000-0005-0000-0000-00000E1B0000}"/>
    <cellStyle name="Обычный 7 10" xfId="3858" xr:uid="{00000000-0005-0000-0000-00000F1B0000}"/>
    <cellStyle name="Обычный 7 11" xfId="3859" xr:uid="{00000000-0005-0000-0000-0000101B0000}"/>
    <cellStyle name="Обычный 7 2" xfId="3860" xr:uid="{00000000-0005-0000-0000-0000111B0000}"/>
    <cellStyle name="Обычный 7 2 2" xfId="3861" xr:uid="{00000000-0005-0000-0000-0000121B0000}"/>
    <cellStyle name="Обычный 7 3" xfId="3862" xr:uid="{00000000-0005-0000-0000-0000131B0000}"/>
    <cellStyle name="Обычный 7 4" xfId="3863" xr:uid="{00000000-0005-0000-0000-0000141B0000}"/>
    <cellStyle name="Обычный 7 4 2" xfId="3864" xr:uid="{00000000-0005-0000-0000-0000151B0000}"/>
    <cellStyle name="Обычный 7 4 2 2" xfId="3865" xr:uid="{00000000-0005-0000-0000-0000161B0000}"/>
    <cellStyle name="Обычный 7 4 2 3" xfId="3866" xr:uid="{00000000-0005-0000-0000-0000171B0000}"/>
    <cellStyle name="Обычный 7 4 2 4" xfId="3867" xr:uid="{00000000-0005-0000-0000-0000181B0000}"/>
    <cellStyle name="Обычный 7 4 2 5" xfId="3868" xr:uid="{00000000-0005-0000-0000-0000191B0000}"/>
    <cellStyle name="Обычный 7 4 2 6" xfId="3869" xr:uid="{00000000-0005-0000-0000-00001A1B0000}"/>
    <cellStyle name="Обычный 7 4 2 7" xfId="3870" xr:uid="{00000000-0005-0000-0000-00001B1B0000}"/>
    <cellStyle name="Обычный 7 5" xfId="3871" xr:uid="{00000000-0005-0000-0000-00001C1B0000}"/>
    <cellStyle name="Обычный 7 6" xfId="3872" xr:uid="{00000000-0005-0000-0000-00001D1B0000}"/>
    <cellStyle name="Обычный 7 7" xfId="3873" xr:uid="{00000000-0005-0000-0000-00001E1B0000}"/>
    <cellStyle name="Обычный 7 8" xfId="3874" xr:uid="{00000000-0005-0000-0000-00001F1B0000}"/>
    <cellStyle name="Обычный 7 9" xfId="3875" xr:uid="{00000000-0005-0000-0000-0000201B0000}"/>
    <cellStyle name="Обычный 70" xfId="3876" xr:uid="{00000000-0005-0000-0000-0000211B0000}"/>
    <cellStyle name="Обычный 71" xfId="3877" xr:uid="{00000000-0005-0000-0000-0000221B0000}"/>
    <cellStyle name="Обычный 72" xfId="3878" xr:uid="{00000000-0005-0000-0000-0000231B0000}"/>
    <cellStyle name="Обычный 73" xfId="3879" xr:uid="{00000000-0005-0000-0000-0000241B0000}"/>
    <cellStyle name="Обычный 74" xfId="3880" xr:uid="{00000000-0005-0000-0000-0000251B0000}"/>
    <cellStyle name="Обычный 75" xfId="3881" xr:uid="{00000000-0005-0000-0000-0000261B0000}"/>
    <cellStyle name="Обычный 76" xfId="3882" xr:uid="{00000000-0005-0000-0000-0000271B0000}"/>
    <cellStyle name="Обычный 78" xfId="3883" xr:uid="{00000000-0005-0000-0000-0000281B0000}"/>
    <cellStyle name="Обычный 79" xfId="3884" xr:uid="{00000000-0005-0000-0000-0000291B0000}"/>
    <cellStyle name="Обычный 8" xfId="3885" xr:uid="{00000000-0005-0000-0000-00002A1B0000}"/>
    <cellStyle name="Обычный 8 10" xfId="3886" xr:uid="{00000000-0005-0000-0000-00002B1B0000}"/>
    <cellStyle name="Обычный 8 11" xfId="3887" xr:uid="{00000000-0005-0000-0000-00002C1B0000}"/>
    <cellStyle name="Обычный 8 2" xfId="3888" xr:uid="{00000000-0005-0000-0000-00002D1B0000}"/>
    <cellStyle name="Обычный 8 2 10" xfId="3889" xr:uid="{00000000-0005-0000-0000-00002E1B0000}"/>
    <cellStyle name="Обычный 8 2 11" xfId="3890" xr:uid="{00000000-0005-0000-0000-00002F1B0000}"/>
    <cellStyle name="Обычный 8 2 12" xfId="3891" xr:uid="{00000000-0005-0000-0000-0000301B0000}"/>
    <cellStyle name="Обычный 8 2 13" xfId="3892" xr:uid="{00000000-0005-0000-0000-0000311B0000}"/>
    <cellStyle name="Обычный 8 2 14" xfId="3893" xr:uid="{00000000-0005-0000-0000-0000321B0000}"/>
    <cellStyle name="Обычный 8 2 15" xfId="3894" xr:uid="{00000000-0005-0000-0000-0000331B0000}"/>
    <cellStyle name="Обычный 8 2 2" xfId="3895" xr:uid="{00000000-0005-0000-0000-0000341B0000}"/>
    <cellStyle name="Обычный 8 2 2 2" xfId="3896" xr:uid="{00000000-0005-0000-0000-0000351B0000}"/>
    <cellStyle name="Обычный 8 2 2 2 2" xfId="3897" xr:uid="{00000000-0005-0000-0000-0000361B0000}"/>
    <cellStyle name="Обычный 8 2 2 2 3" xfId="3898" xr:uid="{00000000-0005-0000-0000-0000371B0000}"/>
    <cellStyle name="Обычный 8 2 2 2 4" xfId="3899" xr:uid="{00000000-0005-0000-0000-0000381B0000}"/>
    <cellStyle name="Обычный 8 2 2 2 5" xfId="3900" xr:uid="{00000000-0005-0000-0000-0000391B0000}"/>
    <cellStyle name="Обычный 8 2 2 2 6" xfId="3901" xr:uid="{00000000-0005-0000-0000-00003A1B0000}"/>
    <cellStyle name="Обычный 8 2 2 2 7" xfId="3902" xr:uid="{00000000-0005-0000-0000-00003B1B0000}"/>
    <cellStyle name="Обычный 8 2 2 3" xfId="3903" xr:uid="{00000000-0005-0000-0000-00003C1B0000}"/>
    <cellStyle name="Обычный 8 2 2 4" xfId="3904" xr:uid="{00000000-0005-0000-0000-00003D1B0000}"/>
    <cellStyle name="Обычный 8 2 2 5" xfId="3905" xr:uid="{00000000-0005-0000-0000-00003E1B0000}"/>
    <cellStyle name="Обычный 8 2 2 6" xfId="3906" xr:uid="{00000000-0005-0000-0000-00003F1B0000}"/>
    <cellStyle name="Обычный 8 2 2 7" xfId="3907" xr:uid="{00000000-0005-0000-0000-0000401B0000}"/>
    <cellStyle name="Обычный 8 2 2 8" xfId="3908" xr:uid="{00000000-0005-0000-0000-0000411B0000}"/>
    <cellStyle name="Обычный 8 2 3" xfId="3909" xr:uid="{00000000-0005-0000-0000-0000421B0000}"/>
    <cellStyle name="Обычный 8 2 3 2" xfId="3910" xr:uid="{00000000-0005-0000-0000-0000431B0000}"/>
    <cellStyle name="Обычный 8 2 3 2 2" xfId="3911" xr:uid="{00000000-0005-0000-0000-0000441B0000}"/>
    <cellStyle name="Обычный 8 2 3 2 3" xfId="3912" xr:uid="{00000000-0005-0000-0000-0000451B0000}"/>
    <cellStyle name="Обычный 8 2 3 2 4" xfId="3913" xr:uid="{00000000-0005-0000-0000-0000461B0000}"/>
    <cellStyle name="Обычный 8 2 3 2 5" xfId="3914" xr:uid="{00000000-0005-0000-0000-0000471B0000}"/>
    <cellStyle name="Обычный 8 2 3 2 6" xfId="3915" xr:uid="{00000000-0005-0000-0000-0000481B0000}"/>
    <cellStyle name="Обычный 8 2 3 2 7" xfId="3916" xr:uid="{00000000-0005-0000-0000-0000491B0000}"/>
    <cellStyle name="Обычный 8 2 3 3" xfId="3917" xr:uid="{00000000-0005-0000-0000-00004A1B0000}"/>
    <cellStyle name="Обычный 8 2 3 4" xfId="3918" xr:uid="{00000000-0005-0000-0000-00004B1B0000}"/>
    <cellStyle name="Обычный 8 2 3 5" xfId="3919" xr:uid="{00000000-0005-0000-0000-00004C1B0000}"/>
    <cellStyle name="Обычный 8 2 3 6" xfId="3920" xr:uid="{00000000-0005-0000-0000-00004D1B0000}"/>
    <cellStyle name="Обычный 8 2 3 7" xfId="3921" xr:uid="{00000000-0005-0000-0000-00004E1B0000}"/>
    <cellStyle name="Обычный 8 2 3 8" xfId="3922" xr:uid="{00000000-0005-0000-0000-00004F1B0000}"/>
    <cellStyle name="Обычный 8 2 4" xfId="3923" xr:uid="{00000000-0005-0000-0000-0000501B0000}"/>
    <cellStyle name="Обычный 8 2 4 2" xfId="3924" xr:uid="{00000000-0005-0000-0000-0000511B0000}"/>
    <cellStyle name="Обычный 8 2 4 2 2" xfId="3925" xr:uid="{00000000-0005-0000-0000-0000521B0000}"/>
    <cellStyle name="Обычный 8 2 4 2 3" xfId="3926" xr:uid="{00000000-0005-0000-0000-0000531B0000}"/>
    <cellStyle name="Обычный 8 2 4 2 4" xfId="3927" xr:uid="{00000000-0005-0000-0000-0000541B0000}"/>
    <cellStyle name="Обычный 8 2 4 2 5" xfId="3928" xr:uid="{00000000-0005-0000-0000-0000551B0000}"/>
    <cellStyle name="Обычный 8 2 4 2 6" xfId="3929" xr:uid="{00000000-0005-0000-0000-0000561B0000}"/>
    <cellStyle name="Обычный 8 2 4 2 7" xfId="3930" xr:uid="{00000000-0005-0000-0000-0000571B0000}"/>
    <cellStyle name="Обычный 8 2 4 3" xfId="3931" xr:uid="{00000000-0005-0000-0000-0000581B0000}"/>
    <cellStyle name="Обычный 8 2 4 4" xfId="3932" xr:uid="{00000000-0005-0000-0000-0000591B0000}"/>
    <cellStyle name="Обычный 8 2 4 5" xfId="3933" xr:uid="{00000000-0005-0000-0000-00005A1B0000}"/>
    <cellStyle name="Обычный 8 2 4 6" xfId="3934" xr:uid="{00000000-0005-0000-0000-00005B1B0000}"/>
    <cellStyle name="Обычный 8 2 4 7" xfId="3935" xr:uid="{00000000-0005-0000-0000-00005C1B0000}"/>
    <cellStyle name="Обычный 8 2 4 8" xfId="3936" xr:uid="{00000000-0005-0000-0000-00005D1B0000}"/>
    <cellStyle name="Обычный 8 2 5" xfId="3937" xr:uid="{00000000-0005-0000-0000-00005E1B0000}"/>
    <cellStyle name="Обычный 8 2 5 2" xfId="3938" xr:uid="{00000000-0005-0000-0000-00005F1B0000}"/>
    <cellStyle name="Обычный 8 2 5 2 2" xfId="3939" xr:uid="{00000000-0005-0000-0000-0000601B0000}"/>
    <cellStyle name="Обычный 8 2 5 2 3" xfId="3940" xr:uid="{00000000-0005-0000-0000-0000611B0000}"/>
    <cellStyle name="Обычный 8 2 5 2 4" xfId="3941" xr:uid="{00000000-0005-0000-0000-0000621B0000}"/>
    <cellStyle name="Обычный 8 2 5 2 5" xfId="3942" xr:uid="{00000000-0005-0000-0000-0000631B0000}"/>
    <cellStyle name="Обычный 8 2 5 2 6" xfId="3943" xr:uid="{00000000-0005-0000-0000-0000641B0000}"/>
    <cellStyle name="Обычный 8 2 5 2 7" xfId="3944" xr:uid="{00000000-0005-0000-0000-0000651B0000}"/>
    <cellStyle name="Обычный 8 2 5 3" xfId="3945" xr:uid="{00000000-0005-0000-0000-0000661B0000}"/>
    <cellStyle name="Обычный 8 2 5 4" xfId="3946" xr:uid="{00000000-0005-0000-0000-0000671B0000}"/>
    <cellStyle name="Обычный 8 2 5 5" xfId="3947" xr:uid="{00000000-0005-0000-0000-0000681B0000}"/>
    <cellStyle name="Обычный 8 2 5 6" xfId="3948" xr:uid="{00000000-0005-0000-0000-0000691B0000}"/>
    <cellStyle name="Обычный 8 2 5 7" xfId="3949" xr:uid="{00000000-0005-0000-0000-00006A1B0000}"/>
    <cellStyle name="Обычный 8 2 5 8" xfId="3950" xr:uid="{00000000-0005-0000-0000-00006B1B0000}"/>
    <cellStyle name="Обычный 8 2 6" xfId="3951" xr:uid="{00000000-0005-0000-0000-00006C1B0000}"/>
    <cellStyle name="Обычный 8 2 6 2" xfId="3952" xr:uid="{00000000-0005-0000-0000-00006D1B0000}"/>
    <cellStyle name="Обычный 8 2 6 2 2" xfId="3953" xr:uid="{00000000-0005-0000-0000-00006E1B0000}"/>
    <cellStyle name="Обычный 8 2 6 2 3" xfId="3954" xr:uid="{00000000-0005-0000-0000-00006F1B0000}"/>
    <cellStyle name="Обычный 8 2 6 2 4" xfId="3955" xr:uid="{00000000-0005-0000-0000-0000701B0000}"/>
    <cellStyle name="Обычный 8 2 6 2 5" xfId="3956" xr:uid="{00000000-0005-0000-0000-0000711B0000}"/>
    <cellStyle name="Обычный 8 2 6 2 6" xfId="3957" xr:uid="{00000000-0005-0000-0000-0000721B0000}"/>
    <cellStyle name="Обычный 8 2 6 2 7" xfId="3958" xr:uid="{00000000-0005-0000-0000-0000731B0000}"/>
    <cellStyle name="Обычный 8 2 6 3" xfId="3959" xr:uid="{00000000-0005-0000-0000-0000741B0000}"/>
    <cellStyle name="Обычный 8 2 6 4" xfId="3960" xr:uid="{00000000-0005-0000-0000-0000751B0000}"/>
    <cellStyle name="Обычный 8 2 6 5" xfId="3961" xr:uid="{00000000-0005-0000-0000-0000761B0000}"/>
    <cellStyle name="Обычный 8 2 6 6" xfId="3962" xr:uid="{00000000-0005-0000-0000-0000771B0000}"/>
    <cellStyle name="Обычный 8 2 6 7" xfId="3963" xr:uid="{00000000-0005-0000-0000-0000781B0000}"/>
    <cellStyle name="Обычный 8 2 6 8" xfId="3964" xr:uid="{00000000-0005-0000-0000-0000791B0000}"/>
    <cellStyle name="Обычный 8 2 7" xfId="3965" xr:uid="{00000000-0005-0000-0000-00007A1B0000}"/>
    <cellStyle name="Обычный 8 2 7 2" xfId="3966" xr:uid="{00000000-0005-0000-0000-00007B1B0000}"/>
    <cellStyle name="Обычный 8 2 7 2 2" xfId="3967" xr:uid="{00000000-0005-0000-0000-00007C1B0000}"/>
    <cellStyle name="Обычный 8 2 7 2 3" xfId="3968" xr:uid="{00000000-0005-0000-0000-00007D1B0000}"/>
    <cellStyle name="Обычный 8 2 7 2 4" xfId="3969" xr:uid="{00000000-0005-0000-0000-00007E1B0000}"/>
    <cellStyle name="Обычный 8 2 7 2 5" xfId="3970" xr:uid="{00000000-0005-0000-0000-00007F1B0000}"/>
    <cellStyle name="Обычный 8 2 7 2 6" xfId="3971" xr:uid="{00000000-0005-0000-0000-0000801B0000}"/>
    <cellStyle name="Обычный 8 2 7 2 7" xfId="3972" xr:uid="{00000000-0005-0000-0000-0000811B0000}"/>
    <cellStyle name="Обычный 8 2 7 3" xfId="3973" xr:uid="{00000000-0005-0000-0000-0000821B0000}"/>
    <cellStyle name="Обычный 8 2 7 4" xfId="3974" xr:uid="{00000000-0005-0000-0000-0000831B0000}"/>
    <cellStyle name="Обычный 8 2 7 5" xfId="3975" xr:uid="{00000000-0005-0000-0000-0000841B0000}"/>
    <cellStyle name="Обычный 8 2 7 6" xfId="3976" xr:uid="{00000000-0005-0000-0000-0000851B0000}"/>
    <cellStyle name="Обычный 8 2 7 7" xfId="3977" xr:uid="{00000000-0005-0000-0000-0000861B0000}"/>
    <cellStyle name="Обычный 8 2 7 8" xfId="3978" xr:uid="{00000000-0005-0000-0000-0000871B0000}"/>
    <cellStyle name="Обычный 8 2 8" xfId="3979" xr:uid="{00000000-0005-0000-0000-0000881B0000}"/>
    <cellStyle name="Обычный 8 2 8 2" xfId="3980" xr:uid="{00000000-0005-0000-0000-0000891B0000}"/>
    <cellStyle name="Обычный 8 2 8 3" xfId="3981" xr:uid="{00000000-0005-0000-0000-00008A1B0000}"/>
    <cellStyle name="Обычный 8 2 8 4" xfId="3982" xr:uid="{00000000-0005-0000-0000-00008B1B0000}"/>
    <cellStyle name="Обычный 8 2 8 5" xfId="3983" xr:uid="{00000000-0005-0000-0000-00008C1B0000}"/>
    <cellStyle name="Обычный 8 2 8 6" xfId="3984" xr:uid="{00000000-0005-0000-0000-00008D1B0000}"/>
    <cellStyle name="Обычный 8 2 8 7" xfId="3985" xr:uid="{00000000-0005-0000-0000-00008E1B0000}"/>
    <cellStyle name="Обычный 8 2 9" xfId="3986" xr:uid="{00000000-0005-0000-0000-00008F1B0000}"/>
    <cellStyle name="Обычный 8 2 9 2" xfId="3987" xr:uid="{00000000-0005-0000-0000-0000901B0000}"/>
    <cellStyle name="Обычный 8 2 9 3" xfId="3988" xr:uid="{00000000-0005-0000-0000-0000911B0000}"/>
    <cellStyle name="Обычный 8 2 9 4" xfId="3989" xr:uid="{00000000-0005-0000-0000-0000921B0000}"/>
    <cellStyle name="Обычный 8 2 9 5" xfId="3990" xr:uid="{00000000-0005-0000-0000-0000931B0000}"/>
    <cellStyle name="Обычный 8 2 9 6" xfId="3991" xr:uid="{00000000-0005-0000-0000-0000941B0000}"/>
    <cellStyle name="Обычный 8 2 9 7" xfId="3992" xr:uid="{00000000-0005-0000-0000-0000951B0000}"/>
    <cellStyle name="Обычный 8 3" xfId="3993" xr:uid="{00000000-0005-0000-0000-0000961B0000}"/>
    <cellStyle name="Обычный 8 3 2" xfId="3994" xr:uid="{00000000-0005-0000-0000-0000971B0000}"/>
    <cellStyle name="Обычный 8 3 2 2" xfId="3995" xr:uid="{00000000-0005-0000-0000-0000981B0000}"/>
    <cellStyle name="Обычный 8 3 2 3" xfId="3996" xr:uid="{00000000-0005-0000-0000-0000991B0000}"/>
    <cellStyle name="Обычный 8 3 2 4" xfId="3997" xr:uid="{00000000-0005-0000-0000-00009A1B0000}"/>
    <cellStyle name="Обычный 8 3 2 5" xfId="3998" xr:uid="{00000000-0005-0000-0000-00009B1B0000}"/>
    <cellStyle name="Обычный 8 3 2 6" xfId="3999" xr:uid="{00000000-0005-0000-0000-00009C1B0000}"/>
    <cellStyle name="Обычный 8 3 2 7" xfId="4000" xr:uid="{00000000-0005-0000-0000-00009D1B0000}"/>
    <cellStyle name="Обычный 8 3 3" xfId="4001" xr:uid="{00000000-0005-0000-0000-00009E1B0000}"/>
    <cellStyle name="Обычный 8 3 4" xfId="4002" xr:uid="{00000000-0005-0000-0000-00009F1B0000}"/>
    <cellStyle name="Обычный 8 3 5" xfId="4003" xr:uid="{00000000-0005-0000-0000-0000A01B0000}"/>
    <cellStyle name="Обычный 8 3 6" xfId="4004" xr:uid="{00000000-0005-0000-0000-0000A11B0000}"/>
    <cellStyle name="Обычный 8 3 7" xfId="4005" xr:uid="{00000000-0005-0000-0000-0000A21B0000}"/>
    <cellStyle name="Обычный 8 3 8" xfId="4006" xr:uid="{00000000-0005-0000-0000-0000A31B0000}"/>
    <cellStyle name="Обычный 8 4" xfId="4007" xr:uid="{00000000-0005-0000-0000-0000A41B0000}"/>
    <cellStyle name="Обычный 8 4 2" xfId="4008" xr:uid="{00000000-0005-0000-0000-0000A51B0000}"/>
    <cellStyle name="Обычный 8 4 2 2" xfId="4009" xr:uid="{00000000-0005-0000-0000-0000A61B0000}"/>
    <cellStyle name="Обычный 8 4 2 3" xfId="4010" xr:uid="{00000000-0005-0000-0000-0000A71B0000}"/>
    <cellStyle name="Обычный 8 4 2 4" xfId="4011" xr:uid="{00000000-0005-0000-0000-0000A81B0000}"/>
    <cellStyle name="Обычный 8 4 2 5" xfId="4012" xr:uid="{00000000-0005-0000-0000-0000A91B0000}"/>
    <cellStyle name="Обычный 8 4 2 6" xfId="4013" xr:uid="{00000000-0005-0000-0000-0000AA1B0000}"/>
    <cellStyle name="Обычный 8 4 2 7" xfId="4014" xr:uid="{00000000-0005-0000-0000-0000AB1B0000}"/>
    <cellStyle name="Обычный 8 4 3" xfId="4015" xr:uid="{00000000-0005-0000-0000-0000AC1B0000}"/>
    <cellStyle name="Обычный 8 4 4" xfId="4016" xr:uid="{00000000-0005-0000-0000-0000AD1B0000}"/>
    <cellStyle name="Обычный 8 4 5" xfId="4017" xr:uid="{00000000-0005-0000-0000-0000AE1B0000}"/>
    <cellStyle name="Обычный 8 4 6" xfId="4018" xr:uid="{00000000-0005-0000-0000-0000AF1B0000}"/>
    <cellStyle name="Обычный 8 4 7" xfId="4019" xr:uid="{00000000-0005-0000-0000-0000B01B0000}"/>
    <cellStyle name="Обычный 8 4 8" xfId="4020" xr:uid="{00000000-0005-0000-0000-0000B11B0000}"/>
    <cellStyle name="Обычный 8 5" xfId="4021" xr:uid="{00000000-0005-0000-0000-0000B21B0000}"/>
    <cellStyle name="Обычный 8 5 2" xfId="4022" xr:uid="{00000000-0005-0000-0000-0000B31B0000}"/>
    <cellStyle name="Обычный 8 5 2 2" xfId="4023" xr:uid="{00000000-0005-0000-0000-0000B41B0000}"/>
    <cellStyle name="Обычный 8 5 2 3" xfId="4024" xr:uid="{00000000-0005-0000-0000-0000B51B0000}"/>
    <cellStyle name="Обычный 8 5 2 4" xfId="4025" xr:uid="{00000000-0005-0000-0000-0000B61B0000}"/>
    <cellStyle name="Обычный 8 5 2 5" xfId="4026" xr:uid="{00000000-0005-0000-0000-0000B71B0000}"/>
    <cellStyle name="Обычный 8 5 2 6" xfId="4027" xr:uid="{00000000-0005-0000-0000-0000B81B0000}"/>
    <cellStyle name="Обычный 8 5 2 7" xfId="4028" xr:uid="{00000000-0005-0000-0000-0000B91B0000}"/>
    <cellStyle name="Обычный 8 5 3" xfId="4029" xr:uid="{00000000-0005-0000-0000-0000BA1B0000}"/>
    <cellStyle name="Обычный 8 5 4" xfId="4030" xr:uid="{00000000-0005-0000-0000-0000BB1B0000}"/>
    <cellStyle name="Обычный 8 5 5" xfId="4031" xr:uid="{00000000-0005-0000-0000-0000BC1B0000}"/>
    <cellStyle name="Обычный 8 5 6" xfId="4032" xr:uid="{00000000-0005-0000-0000-0000BD1B0000}"/>
    <cellStyle name="Обычный 8 5 7" xfId="4033" xr:uid="{00000000-0005-0000-0000-0000BE1B0000}"/>
    <cellStyle name="Обычный 8 5 8" xfId="4034" xr:uid="{00000000-0005-0000-0000-0000BF1B0000}"/>
    <cellStyle name="Обычный 8 6" xfId="4035" xr:uid="{00000000-0005-0000-0000-0000C01B0000}"/>
    <cellStyle name="Обычный 8 6 2" xfId="4036" xr:uid="{00000000-0005-0000-0000-0000C11B0000}"/>
    <cellStyle name="Обычный 8 6 2 2" xfId="4037" xr:uid="{00000000-0005-0000-0000-0000C21B0000}"/>
    <cellStyle name="Обычный 8 6 2 3" xfId="4038" xr:uid="{00000000-0005-0000-0000-0000C31B0000}"/>
    <cellStyle name="Обычный 8 6 2 4" xfId="4039" xr:uid="{00000000-0005-0000-0000-0000C41B0000}"/>
    <cellStyle name="Обычный 8 6 2 5" xfId="4040" xr:uid="{00000000-0005-0000-0000-0000C51B0000}"/>
    <cellStyle name="Обычный 8 6 2 6" xfId="4041" xr:uid="{00000000-0005-0000-0000-0000C61B0000}"/>
    <cellStyle name="Обычный 8 6 2 7" xfId="4042" xr:uid="{00000000-0005-0000-0000-0000C71B0000}"/>
    <cellStyle name="Обычный 8 6 3" xfId="4043" xr:uid="{00000000-0005-0000-0000-0000C81B0000}"/>
    <cellStyle name="Обычный 8 6 4" xfId="4044" xr:uid="{00000000-0005-0000-0000-0000C91B0000}"/>
    <cellStyle name="Обычный 8 6 5" xfId="4045" xr:uid="{00000000-0005-0000-0000-0000CA1B0000}"/>
    <cellStyle name="Обычный 8 6 6" xfId="4046" xr:uid="{00000000-0005-0000-0000-0000CB1B0000}"/>
    <cellStyle name="Обычный 8 6 7" xfId="4047" xr:uid="{00000000-0005-0000-0000-0000CC1B0000}"/>
    <cellStyle name="Обычный 8 6 8" xfId="4048" xr:uid="{00000000-0005-0000-0000-0000CD1B0000}"/>
    <cellStyle name="Обычный 8 7" xfId="4049" xr:uid="{00000000-0005-0000-0000-0000CE1B0000}"/>
    <cellStyle name="Обычный 8 7 2" xfId="4050" xr:uid="{00000000-0005-0000-0000-0000CF1B0000}"/>
    <cellStyle name="Обычный 8 7 2 2" xfId="4051" xr:uid="{00000000-0005-0000-0000-0000D01B0000}"/>
    <cellStyle name="Обычный 8 7 2 3" xfId="4052" xr:uid="{00000000-0005-0000-0000-0000D11B0000}"/>
    <cellStyle name="Обычный 8 7 2 4" xfId="4053" xr:uid="{00000000-0005-0000-0000-0000D21B0000}"/>
    <cellStyle name="Обычный 8 7 2 5" xfId="4054" xr:uid="{00000000-0005-0000-0000-0000D31B0000}"/>
    <cellStyle name="Обычный 8 7 2 6" xfId="4055" xr:uid="{00000000-0005-0000-0000-0000D41B0000}"/>
    <cellStyle name="Обычный 8 7 2 7" xfId="4056" xr:uid="{00000000-0005-0000-0000-0000D51B0000}"/>
    <cellStyle name="Обычный 8 7 3" xfId="4057" xr:uid="{00000000-0005-0000-0000-0000D61B0000}"/>
    <cellStyle name="Обычный 8 7 4" xfId="4058" xr:uid="{00000000-0005-0000-0000-0000D71B0000}"/>
    <cellStyle name="Обычный 8 7 5" xfId="4059" xr:uid="{00000000-0005-0000-0000-0000D81B0000}"/>
    <cellStyle name="Обычный 8 7 6" xfId="4060" xr:uid="{00000000-0005-0000-0000-0000D91B0000}"/>
    <cellStyle name="Обычный 8 7 7" xfId="4061" xr:uid="{00000000-0005-0000-0000-0000DA1B0000}"/>
    <cellStyle name="Обычный 8 7 8" xfId="4062" xr:uid="{00000000-0005-0000-0000-0000DB1B0000}"/>
    <cellStyle name="Обычный 8 8" xfId="4063" xr:uid="{00000000-0005-0000-0000-0000DC1B0000}"/>
    <cellStyle name="Обычный 8 8 2" xfId="4064" xr:uid="{00000000-0005-0000-0000-0000DD1B0000}"/>
    <cellStyle name="Обычный 8 8 2 2" xfId="4065" xr:uid="{00000000-0005-0000-0000-0000DE1B0000}"/>
    <cellStyle name="Обычный 8 8 2 3" xfId="4066" xr:uid="{00000000-0005-0000-0000-0000DF1B0000}"/>
    <cellStyle name="Обычный 8 8 2 4" xfId="4067" xr:uid="{00000000-0005-0000-0000-0000E01B0000}"/>
    <cellStyle name="Обычный 8 8 2 5" xfId="4068" xr:uid="{00000000-0005-0000-0000-0000E11B0000}"/>
    <cellStyle name="Обычный 8 8 2 6" xfId="4069" xr:uid="{00000000-0005-0000-0000-0000E21B0000}"/>
    <cellStyle name="Обычный 8 8 2 7" xfId="4070" xr:uid="{00000000-0005-0000-0000-0000E31B0000}"/>
    <cellStyle name="Обычный 8 8 3" xfId="4071" xr:uid="{00000000-0005-0000-0000-0000E41B0000}"/>
    <cellStyle name="Обычный 8 8 4" xfId="4072" xr:uid="{00000000-0005-0000-0000-0000E51B0000}"/>
    <cellStyle name="Обычный 8 8 5" xfId="4073" xr:uid="{00000000-0005-0000-0000-0000E61B0000}"/>
    <cellStyle name="Обычный 8 8 6" xfId="4074" xr:uid="{00000000-0005-0000-0000-0000E71B0000}"/>
    <cellStyle name="Обычный 8 8 7" xfId="4075" xr:uid="{00000000-0005-0000-0000-0000E81B0000}"/>
    <cellStyle name="Обычный 8 8 8" xfId="4076" xr:uid="{00000000-0005-0000-0000-0000E91B0000}"/>
    <cellStyle name="Обычный 8 9" xfId="4077" xr:uid="{00000000-0005-0000-0000-0000EA1B0000}"/>
    <cellStyle name="Обычный 80" xfId="4078" xr:uid="{00000000-0005-0000-0000-0000EB1B0000}"/>
    <cellStyle name="Обычный 81" xfId="4079" xr:uid="{00000000-0005-0000-0000-0000EC1B0000}"/>
    <cellStyle name="Обычный 82" xfId="4080" xr:uid="{00000000-0005-0000-0000-0000ED1B0000}"/>
    <cellStyle name="Обычный 9" xfId="4081" xr:uid="{00000000-0005-0000-0000-0000EE1B0000}"/>
    <cellStyle name="Обычный 9 10" xfId="4082" xr:uid="{00000000-0005-0000-0000-0000EF1B0000}"/>
    <cellStyle name="Обычный 9 2" xfId="4083" xr:uid="{00000000-0005-0000-0000-0000F01B0000}"/>
    <cellStyle name="Обычный 9 2 2" xfId="4084" xr:uid="{00000000-0005-0000-0000-0000F11B0000}"/>
    <cellStyle name="Обычный 9 2 2 2" xfId="4085" xr:uid="{00000000-0005-0000-0000-0000F21B0000}"/>
    <cellStyle name="Обычный 9 2 2 3" xfId="4086" xr:uid="{00000000-0005-0000-0000-0000F31B0000}"/>
    <cellStyle name="Обычный 9 2 2 4" xfId="4087" xr:uid="{00000000-0005-0000-0000-0000F41B0000}"/>
    <cellStyle name="Обычный 9 2 2 5" xfId="4088" xr:uid="{00000000-0005-0000-0000-0000F51B0000}"/>
    <cellStyle name="Обычный 9 2 2 6" xfId="4089" xr:uid="{00000000-0005-0000-0000-0000F61B0000}"/>
    <cellStyle name="Обычный 9 2 2 7" xfId="4090" xr:uid="{00000000-0005-0000-0000-0000F71B0000}"/>
    <cellStyle name="Обычный 9 2 3" xfId="4091" xr:uid="{00000000-0005-0000-0000-0000F81B0000}"/>
    <cellStyle name="Обычный 9 2 3 2" xfId="4092" xr:uid="{00000000-0005-0000-0000-0000F91B0000}"/>
    <cellStyle name="Обычный 9 2 3 3" xfId="4093" xr:uid="{00000000-0005-0000-0000-0000FA1B0000}"/>
    <cellStyle name="Обычный 9 2 3 4" xfId="4094" xr:uid="{00000000-0005-0000-0000-0000FB1B0000}"/>
    <cellStyle name="Обычный 9 2 3 5" xfId="4095" xr:uid="{00000000-0005-0000-0000-0000FC1B0000}"/>
    <cellStyle name="Обычный 9 2 3 6" xfId="4096" xr:uid="{00000000-0005-0000-0000-0000FD1B0000}"/>
    <cellStyle name="Обычный 9 2 3 7" xfId="4097" xr:uid="{00000000-0005-0000-0000-0000FE1B0000}"/>
    <cellStyle name="Обычный 9 2 4" xfId="4098" xr:uid="{00000000-0005-0000-0000-0000FF1B0000}"/>
    <cellStyle name="Обычный 9 2 5" xfId="4099" xr:uid="{00000000-0005-0000-0000-0000001C0000}"/>
    <cellStyle name="Обычный 9 2 6" xfId="4100" xr:uid="{00000000-0005-0000-0000-0000011C0000}"/>
    <cellStyle name="Обычный 9 2 7" xfId="4101" xr:uid="{00000000-0005-0000-0000-0000021C0000}"/>
    <cellStyle name="Обычный 9 2 8" xfId="4102" xr:uid="{00000000-0005-0000-0000-0000031C0000}"/>
    <cellStyle name="Обычный 9 2 9" xfId="4103" xr:uid="{00000000-0005-0000-0000-0000041C0000}"/>
    <cellStyle name="Обычный 9 3" xfId="4104" xr:uid="{00000000-0005-0000-0000-0000051C0000}"/>
    <cellStyle name="Обычный 9 3 2" xfId="4105" xr:uid="{00000000-0005-0000-0000-0000061C0000}"/>
    <cellStyle name="Обычный 9 3 2 2" xfId="4106" xr:uid="{00000000-0005-0000-0000-0000071C0000}"/>
    <cellStyle name="Обычный 9 3 2 3" xfId="4107" xr:uid="{00000000-0005-0000-0000-0000081C0000}"/>
    <cellStyle name="Обычный 9 3 2 4" xfId="4108" xr:uid="{00000000-0005-0000-0000-0000091C0000}"/>
    <cellStyle name="Обычный 9 3 2 5" xfId="4109" xr:uid="{00000000-0005-0000-0000-00000A1C0000}"/>
    <cellStyle name="Обычный 9 3 2 6" xfId="4110" xr:uid="{00000000-0005-0000-0000-00000B1C0000}"/>
    <cellStyle name="Обычный 9 3 2 7" xfId="4111" xr:uid="{00000000-0005-0000-0000-00000C1C0000}"/>
    <cellStyle name="Обычный 9 3 3" xfId="4112" xr:uid="{00000000-0005-0000-0000-00000D1C0000}"/>
    <cellStyle name="Обычный 9 3 4" xfId="4113" xr:uid="{00000000-0005-0000-0000-00000E1C0000}"/>
    <cellStyle name="Обычный 9 3 5" xfId="4114" xr:uid="{00000000-0005-0000-0000-00000F1C0000}"/>
    <cellStyle name="Обычный 9 3 6" xfId="4115" xr:uid="{00000000-0005-0000-0000-0000101C0000}"/>
    <cellStyle name="Обычный 9 3 7" xfId="4116" xr:uid="{00000000-0005-0000-0000-0000111C0000}"/>
    <cellStyle name="Обычный 9 3 8" xfId="4117" xr:uid="{00000000-0005-0000-0000-0000121C0000}"/>
    <cellStyle name="Обычный 9 4" xfId="4118" xr:uid="{00000000-0005-0000-0000-0000131C0000}"/>
    <cellStyle name="Обычный 9 4 2" xfId="4119" xr:uid="{00000000-0005-0000-0000-0000141C0000}"/>
    <cellStyle name="Обычный 9 4 2 2" xfId="4120" xr:uid="{00000000-0005-0000-0000-0000151C0000}"/>
    <cellStyle name="Обычный 9 4 2 3" xfId="4121" xr:uid="{00000000-0005-0000-0000-0000161C0000}"/>
    <cellStyle name="Обычный 9 4 2 4" xfId="4122" xr:uid="{00000000-0005-0000-0000-0000171C0000}"/>
    <cellStyle name="Обычный 9 4 2 5" xfId="4123" xr:uid="{00000000-0005-0000-0000-0000181C0000}"/>
    <cellStyle name="Обычный 9 4 2 6" xfId="4124" xr:uid="{00000000-0005-0000-0000-0000191C0000}"/>
    <cellStyle name="Обычный 9 4 2 7" xfId="4125" xr:uid="{00000000-0005-0000-0000-00001A1C0000}"/>
    <cellStyle name="Обычный 9 4 3" xfId="4126" xr:uid="{00000000-0005-0000-0000-00001B1C0000}"/>
    <cellStyle name="Обычный 9 4 4" xfId="4127" xr:uid="{00000000-0005-0000-0000-00001C1C0000}"/>
    <cellStyle name="Обычный 9 4 5" xfId="4128" xr:uid="{00000000-0005-0000-0000-00001D1C0000}"/>
    <cellStyle name="Обычный 9 4 6" xfId="4129" xr:uid="{00000000-0005-0000-0000-00001E1C0000}"/>
    <cellStyle name="Обычный 9 4 7" xfId="4130" xr:uid="{00000000-0005-0000-0000-00001F1C0000}"/>
    <cellStyle name="Обычный 9 4 8" xfId="4131" xr:uid="{00000000-0005-0000-0000-0000201C0000}"/>
    <cellStyle name="Обычный 9 5" xfId="4132" xr:uid="{00000000-0005-0000-0000-0000211C0000}"/>
    <cellStyle name="Обычный 9 5 2" xfId="4133" xr:uid="{00000000-0005-0000-0000-0000221C0000}"/>
    <cellStyle name="Обычный 9 5 2 2" xfId="4134" xr:uid="{00000000-0005-0000-0000-0000231C0000}"/>
    <cellStyle name="Обычный 9 5 2 3" xfId="4135" xr:uid="{00000000-0005-0000-0000-0000241C0000}"/>
    <cellStyle name="Обычный 9 5 2 4" xfId="4136" xr:uid="{00000000-0005-0000-0000-0000251C0000}"/>
    <cellStyle name="Обычный 9 5 2 5" xfId="4137" xr:uid="{00000000-0005-0000-0000-0000261C0000}"/>
    <cellStyle name="Обычный 9 5 2 6" xfId="4138" xr:uid="{00000000-0005-0000-0000-0000271C0000}"/>
    <cellStyle name="Обычный 9 5 2 7" xfId="4139" xr:uid="{00000000-0005-0000-0000-0000281C0000}"/>
    <cellStyle name="Обычный 9 5 3" xfId="4140" xr:uid="{00000000-0005-0000-0000-0000291C0000}"/>
    <cellStyle name="Обычный 9 5 4" xfId="4141" xr:uid="{00000000-0005-0000-0000-00002A1C0000}"/>
    <cellStyle name="Обычный 9 5 5" xfId="4142" xr:uid="{00000000-0005-0000-0000-00002B1C0000}"/>
    <cellStyle name="Обычный 9 5 6" xfId="4143" xr:uid="{00000000-0005-0000-0000-00002C1C0000}"/>
    <cellStyle name="Обычный 9 5 7" xfId="4144" xr:uid="{00000000-0005-0000-0000-00002D1C0000}"/>
    <cellStyle name="Обычный 9 5 8" xfId="4145" xr:uid="{00000000-0005-0000-0000-00002E1C0000}"/>
    <cellStyle name="Обычный 9 6" xfId="4146" xr:uid="{00000000-0005-0000-0000-00002F1C0000}"/>
    <cellStyle name="Обычный 9 6 2" xfId="4147" xr:uid="{00000000-0005-0000-0000-0000301C0000}"/>
    <cellStyle name="Обычный 9 6 2 2" xfId="4148" xr:uid="{00000000-0005-0000-0000-0000311C0000}"/>
    <cellStyle name="Обычный 9 6 2 3" xfId="4149" xr:uid="{00000000-0005-0000-0000-0000321C0000}"/>
    <cellStyle name="Обычный 9 6 2 4" xfId="4150" xr:uid="{00000000-0005-0000-0000-0000331C0000}"/>
    <cellStyle name="Обычный 9 6 2 5" xfId="4151" xr:uid="{00000000-0005-0000-0000-0000341C0000}"/>
    <cellStyle name="Обычный 9 6 2 6" xfId="4152" xr:uid="{00000000-0005-0000-0000-0000351C0000}"/>
    <cellStyle name="Обычный 9 6 2 7" xfId="4153" xr:uid="{00000000-0005-0000-0000-0000361C0000}"/>
    <cellStyle name="Обычный 9 6 3" xfId="4154" xr:uid="{00000000-0005-0000-0000-0000371C0000}"/>
    <cellStyle name="Обычный 9 6 4" xfId="4155" xr:uid="{00000000-0005-0000-0000-0000381C0000}"/>
    <cellStyle name="Обычный 9 6 5" xfId="4156" xr:uid="{00000000-0005-0000-0000-0000391C0000}"/>
    <cellStyle name="Обычный 9 6 6" xfId="4157" xr:uid="{00000000-0005-0000-0000-00003A1C0000}"/>
    <cellStyle name="Обычный 9 6 7" xfId="4158" xr:uid="{00000000-0005-0000-0000-00003B1C0000}"/>
    <cellStyle name="Обычный 9 6 8" xfId="4159" xr:uid="{00000000-0005-0000-0000-00003C1C0000}"/>
    <cellStyle name="Обычный 9 7" xfId="4160" xr:uid="{00000000-0005-0000-0000-00003D1C0000}"/>
    <cellStyle name="Обычный 9 7 2" xfId="4161" xr:uid="{00000000-0005-0000-0000-00003E1C0000}"/>
    <cellStyle name="Обычный 9 7 2 2" xfId="4162" xr:uid="{00000000-0005-0000-0000-00003F1C0000}"/>
    <cellStyle name="Обычный 9 7 2 3" xfId="4163" xr:uid="{00000000-0005-0000-0000-0000401C0000}"/>
    <cellStyle name="Обычный 9 7 2 4" xfId="4164" xr:uid="{00000000-0005-0000-0000-0000411C0000}"/>
    <cellStyle name="Обычный 9 7 2 5" xfId="4165" xr:uid="{00000000-0005-0000-0000-0000421C0000}"/>
    <cellStyle name="Обычный 9 7 2 6" xfId="4166" xr:uid="{00000000-0005-0000-0000-0000431C0000}"/>
    <cellStyle name="Обычный 9 7 2 7" xfId="4167" xr:uid="{00000000-0005-0000-0000-0000441C0000}"/>
    <cellStyle name="Обычный 9 7 3" xfId="4168" xr:uid="{00000000-0005-0000-0000-0000451C0000}"/>
    <cellStyle name="Обычный 9 7 4" xfId="4169" xr:uid="{00000000-0005-0000-0000-0000461C0000}"/>
    <cellStyle name="Обычный 9 7 5" xfId="4170" xr:uid="{00000000-0005-0000-0000-0000471C0000}"/>
    <cellStyle name="Обычный 9 7 6" xfId="4171" xr:uid="{00000000-0005-0000-0000-0000481C0000}"/>
    <cellStyle name="Обычный 9 7 7" xfId="4172" xr:uid="{00000000-0005-0000-0000-0000491C0000}"/>
    <cellStyle name="Обычный 9 7 8" xfId="4173" xr:uid="{00000000-0005-0000-0000-00004A1C0000}"/>
    <cellStyle name="Обычный 9 8" xfId="4174" xr:uid="{00000000-0005-0000-0000-00004B1C0000}"/>
    <cellStyle name="Обычный 9 9" xfId="4175" xr:uid="{00000000-0005-0000-0000-00004C1C0000}"/>
    <cellStyle name="Плохой 10" xfId="8118" xr:uid="{00000000-0005-0000-0000-00004D1C0000}"/>
    <cellStyle name="Плохой 11" xfId="8119" xr:uid="{00000000-0005-0000-0000-00004E1C0000}"/>
    <cellStyle name="Плохой 12" xfId="8120" xr:uid="{00000000-0005-0000-0000-00004F1C0000}"/>
    <cellStyle name="Плохой 13" xfId="8121" xr:uid="{00000000-0005-0000-0000-0000501C0000}"/>
    <cellStyle name="Плохой 14" xfId="8122" xr:uid="{00000000-0005-0000-0000-0000511C0000}"/>
    <cellStyle name="Плохой 15" xfId="8123" xr:uid="{00000000-0005-0000-0000-0000521C0000}"/>
    <cellStyle name="Плохой 16" xfId="8124" xr:uid="{00000000-0005-0000-0000-0000531C0000}"/>
    <cellStyle name="Плохой 17" xfId="8125" xr:uid="{00000000-0005-0000-0000-0000541C0000}"/>
    <cellStyle name="Плохой 18" xfId="8126" xr:uid="{00000000-0005-0000-0000-0000551C0000}"/>
    <cellStyle name="Плохой 19" xfId="8127" xr:uid="{00000000-0005-0000-0000-0000561C0000}"/>
    <cellStyle name="Плохой 2" xfId="4176" xr:uid="{00000000-0005-0000-0000-0000571C0000}"/>
    <cellStyle name="Плохой 2 2" xfId="4177" xr:uid="{00000000-0005-0000-0000-0000581C0000}"/>
    <cellStyle name="Плохой 2 3" xfId="4178" xr:uid="{00000000-0005-0000-0000-0000591C0000}"/>
    <cellStyle name="Плохой 2 4" xfId="4179" xr:uid="{00000000-0005-0000-0000-00005A1C0000}"/>
    <cellStyle name="Плохой 2 5" xfId="4180" xr:uid="{00000000-0005-0000-0000-00005B1C0000}"/>
    <cellStyle name="Плохой 2 6" xfId="4181" xr:uid="{00000000-0005-0000-0000-00005C1C0000}"/>
    <cellStyle name="Плохой 2 7" xfId="4182" xr:uid="{00000000-0005-0000-0000-00005D1C0000}"/>
    <cellStyle name="Плохой 2 8" xfId="4183" xr:uid="{00000000-0005-0000-0000-00005E1C0000}"/>
    <cellStyle name="Плохой 2 9" xfId="4184" xr:uid="{00000000-0005-0000-0000-00005F1C0000}"/>
    <cellStyle name="Плохой 3" xfId="4185" xr:uid="{00000000-0005-0000-0000-0000601C0000}"/>
    <cellStyle name="Плохой 4" xfId="4186" xr:uid="{00000000-0005-0000-0000-0000611C0000}"/>
    <cellStyle name="Плохой 4 2" xfId="4187" xr:uid="{00000000-0005-0000-0000-0000621C0000}"/>
    <cellStyle name="Плохой 5" xfId="4188" xr:uid="{00000000-0005-0000-0000-0000631C0000}"/>
    <cellStyle name="Плохой 6" xfId="8128" xr:uid="{00000000-0005-0000-0000-0000641C0000}"/>
    <cellStyle name="Плохой 7" xfId="8129" xr:uid="{00000000-0005-0000-0000-0000651C0000}"/>
    <cellStyle name="Плохой 8" xfId="8130" xr:uid="{00000000-0005-0000-0000-0000661C0000}"/>
    <cellStyle name="Плохой 9" xfId="8131" xr:uid="{00000000-0005-0000-0000-0000671C0000}"/>
    <cellStyle name="Пояснение 2" xfId="4189" xr:uid="{00000000-0005-0000-0000-0000681C0000}"/>
    <cellStyle name="Пояснение 2 2" xfId="4190" xr:uid="{00000000-0005-0000-0000-0000691C0000}"/>
    <cellStyle name="Пояснение 2 3" xfId="4191" xr:uid="{00000000-0005-0000-0000-00006A1C0000}"/>
    <cellStyle name="Пояснение 2 4" xfId="4192" xr:uid="{00000000-0005-0000-0000-00006B1C0000}"/>
    <cellStyle name="Пояснение 2 5" xfId="4193" xr:uid="{00000000-0005-0000-0000-00006C1C0000}"/>
    <cellStyle name="Пояснение 2 6" xfId="4194" xr:uid="{00000000-0005-0000-0000-00006D1C0000}"/>
    <cellStyle name="Пояснение 2 7" xfId="4195" xr:uid="{00000000-0005-0000-0000-00006E1C0000}"/>
    <cellStyle name="Пояснение 2 8" xfId="4196" xr:uid="{00000000-0005-0000-0000-00006F1C0000}"/>
    <cellStyle name="Пояснение 2 9" xfId="4197" xr:uid="{00000000-0005-0000-0000-0000701C0000}"/>
    <cellStyle name="Пояснение 3" xfId="4198" xr:uid="{00000000-0005-0000-0000-0000711C0000}"/>
    <cellStyle name="Примечание 10" xfId="8132" xr:uid="{00000000-0005-0000-0000-0000721C0000}"/>
    <cellStyle name="Примечание 11" xfId="8133" xr:uid="{00000000-0005-0000-0000-0000731C0000}"/>
    <cellStyle name="Примечание 12" xfId="8134" xr:uid="{00000000-0005-0000-0000-0000741C0000}"/>
    <cellStyle name="Примечание 13" xfId="8135" xr:uid="{00000000-0005-0000-0000-0000751C0000}"/>
    <cellStyle name="Примечание 14" xfId="8136" xr:uid="{00000000-0005-0000-0000-0000761C0000}"/>
    <cellStyle name="Примечание 15" xfId="8137" xr:uid="{00000000-0005-0000-0000-0000771C0000}"/>
    <cellStyle name="Примечание 16" xfId="8138" xr:uid="{00000000-0005-0000-0000-0000781C0000}"/>
    <cellStyle name="Примечание 17" xfId="8139" xr:uid="{00000000-0005-0000-0000-0000791C0000}"/>
    <cellStyle name="Примечание 18" xfId="8140" xr:uid="{00000000-0005-0000-0000-00007A1C0000}"/>
    <cellStyle name="Примечание 19" xfId="8141" xr:uid="{00000000-0005-0000-0000-00007B1C0000}"/>
    <cellStyle name="Примечание 2" xfId="4199" xr:uid="{00000000-0005-0000-0000-00007C1C0000}"/>
    <cellStyle name="Примечание 2 2" xfId="4200" xr:uid="{00000000-0005-0000-0000-00007D1C0000}"/>
    <cellStyle name="Примечание 2 3" xfId="4201" xr:uid="{00000000-0005-0000-0000-00007E1C0000}"/>
    <cellStyle name="Примечание 2 4" xfId="4202" xr:uid="{00000000-0005-0000-0000-00007F1C0000}"/>
    <cellStyle name="Примечание 2 5" xfId="4203" xr:uid="{00000000-0005-0000-0000-0000801C0000}"/>
    <cellStyle name="Примечание 2 6" xfId="4204" xr:uid="{00000000-0005-0000-0000-0000811C0000}"/>
    <cellStyle name="Примечание 3" xfId="4205" xr:uid="{00000000-0005-0000-0000-0000821C0000}"/>
    <cellStyle name="Примечание 4" xfId="4206" xr:uid="{00000000-0005-0000-0000-0000831C0000}"/>
    <cellStyle name="Примечание 4 2" xfId="4207" xr:uid="{00000000-0005-0000-0000-0000841C0000}"/>
    <cellStyle name="Примечание 5" xfId="4208" xr:uid="{00000000-0005-0000-0000-0000851C0000}"/>
    <cellStyle name="Примечание 6" xfId="8142" xr:uid="{00000000-0005-0000-0000-0000861C0000}"/>
    <cellStyle name="Примечание 7" xfId="8143" xr:uid="{00000000-0005-0000-0000-0000871C0000}"/>
    <cellStyle name="Примечание 8" xfId="8144" xr:uid="{00000000-0005-0000-0000-0000881C0000}"/>
    <cellStyle name="Примечание 9" xfId="8145" xr:uid="{00000000-0005-0000-0000-0000891C0000}"/>
    <cellStyle name="Процентный" xfId="8146" builtinId="5"/>
    <cellStyle name="Процентный 10" xfId="4209" xr:uid="{00000000-0005-0000-0000-00008B1C0000}"/>
    <cellStyle name="Процентный 11" xfId="4210" xr:uid="{00000000-0005-0000-0000-00008C1C0000}"/>
    <cellStyle name="Процентный 12" xfId="4211" xr:uid="{00000000-0005-0000-0000-00008D1C0000}"/>
    <cellStyle name="Процентный 2" xfId="4212" xr:uid="{00000000-0005-0000-0000-00008E1C0000}"/>
    <cellStyle name="Процентный 2 2" xfId="4213" xr:uid="{00000000-0005-0000-0000-00008F1C0000}"/>
    <cellStyle name="Процентный 2 2 2" xfId="4214" xr:uid="{00000000-0005-0000-0000-0000901C0000}"/>
    <cellStyle name="Процентный 2 3" xfId="4215" xr:uid="{00000000-0005-0000-0000-0000911C0000}"/>
    <cellStyle name="Процентный 2 3 10" xfId="4216" xr:uid="{00000000-0005-0000-0000-0000921C0000}"/>
    <cellStyle name="Процентный 2 3 11" xfId="4217" xr:uid="{00000000-0005-0000-0000-0000931C0000}"/>
    <cellStyle name="Процентный 2 3 12" xfId="4218" xr:uid="{00000000-0005-0000-0000-0000941C0000}"/>
    <cellStyle name="Процентный 2 3 13" xfId="4219" xr:uid="{00000000-0005-0000-0000-0000951C0000}"/>
    <cellStyle name="Процентный 2 3 14" xfId="4220" xr:uid="{00000000-0005-0000-0000-0000961C0000}"/>
    <cellStyle name="Процентный 2 3 2" xfId="4221" xr:uid="{00000000-0005-0000-0000-0000971C0000}"/>
    <cellStyle name="Процентный 2 3 2 2" xfId="4222" xr:uid="{00000000-0005-0000-0000-0000981C0000}"/>
    <cellStyle name="Процентный 2 3 2 2 2" xfId="4223" xr:uid="{00000000-0005-0000-0000-0000991C0000}"/>
    <cellStyle name="Процентный 2 3 2 2 3" xfId="4224" xr:uid="{00000000-0005-0000-0000-00009A1C0000}"/>
    <cellStyle name="Процентный 2 3 2 2 4" xfId="4225" xr:uid="{00000000-0005-0000-0000-00009B1C0000}"/>
    <cellStyle name="Процентный 2 3 2 2 5" xfId="4226" xr:uid="{00000000-0005-0000-0000-00009C1C0000}"/>
    <cellStyle name="Процентный 2 3 2 2 6" xfId="4227" xr:uid="{00000000-0005-0000-0000-00009D1C0000}"/>
    <cellStyle name="Процентный 2 3 2 2 7" xfId="4228" xr:uid="{00000000-0005-0000-0000-00009E1C0000}"/>
    <cellStyle name="Процентный 2 3 2 3" xfId="4229" xr:uid="{00000000-0005-0000-0000-00009F1C0000}"/>
    <cellStyle name="Процентный 2 3 2 4" xfId="4230" xr:uid="{00000000-0005-0000-0000-0000A01C0000}"/>
    <cellStyle name="Процентный 2 3 2 5" xfId="4231" xr:uid="{00000000-0005-0000-0000-0000A11C0000}"/>
    <cellStyle name="Процентный 2 3 2 6" xfId="4232" xr:uid="{00000000-0005-0000-0000-0000A21C0000}"/>
    <cellStyle name="Процентный 2 3 2 7" xfId="4233" xr:uid="{00000000-0005-0000-0000-0000A31C0000}"/>
    <cellStyle name="Процентный 2 3 2 8" xfId="4234" xr:uid="{00000000-0005-0000-0000-0000A41C0000}"/>
    <cellStyle name="Процентный 2 3 3" xfId="4235" xr:uid="{00000000-0005-0000-0000-0000A51C0000}"/>
    <cellStyle name="Процентный 2 3 3 2" xfId="4236" xr:uid="{00000000-0005-0000-0000-0000A61C0000}"/>
    <cellStyle name="Процентный 2 3 3 2 2" xfId="4237" xr:uid="{00000000-0005-0000-0000-0000A71C0000}"/>
    <cellStyle name="Процентный 2 3 3 2 3" xfId="4238" xr:uid="{00000000-0005-0000-0000-0000A81C0000}"/>
    <cellStyle name="Процентный 2 3 3 2 4" xfId="4239" xr:uid="{00000000-0005-0000-0000-0000A91C0000}"/>
    <cellStyle name="Процентный 2 3 3 2 5" xfId="4240" xr:uid="{00000000-0005-0000-0000-0000AA1C0000}"/>
    <cellStyle name="Процентный 2 3 3 2 6" xfId="4241" xr:uid="{00000000-0005-0000-0000-0000AB1C0000}"/>
    <cellStyle name="Процентный 2 3 3 2 7" xfId="4242" xr:uid="{00000000-0005-0000-0000-0000AC1C0000}"/>
    <cellStyle name="Процентный 2 3 3 3" xfId="4243" xr:uid="{00000000-0005-0000-0000-0000AD1C0000}"/>
    <cellStyle name="Процентный 2 3 3 4" xfId="4244" xr:uid="{00000000-0005-0000-0000-0000AE1C0000}"/>
    <cellStyle name="Процентный 2 3 3 5" xfId="4245" xr:uid="{00000000-0005-0000-0000-0000AF1C0000}"/>
    <cellStyle name="Процентный 2 3 3 6" xfId="4246" xr:uid="{00000000-0005-0000-0000-0000B01C0000}"/>
    <cellStyle name="Процентный 2 3 3 7" xfId="4247" xr:uid="{00000000-0005-0000-0000-0000B11C0000}"/>
    <cellStyle name="Процентный 2 3 3 8" xfId="4248" xr:uid="{00000000-0005-0000-0000-0000B21C0000}"/>
    <cellStyle name="Процентный 2 3 4" xfId="4249" xr:uid="{00000000-0005-0000-0000-0000B31C0000}"/>
    <cellStyle name="Процентный 2 3 4 2" xfId="4250" xr:uid="{00000000-0005-0000-0000-0000B41C0000}"/>
    <cellStyle name="Процентный 2 3 4 2 2" xfId="4251" xr:uid="{00000000-0005-0000-0000-0000B51C0000}"/>
    <cellStyle name="Процентный 2 3 4 2 3" xfId="4252" xr:uid="{00000000-0005-0000-0000-0000B61C0000}"/>
    <cellStyle name="Процентный 2 3 4 2 4" xfId="4253" xr:uid="{00000000-0005-0000-0000-0000B71C0000}"/>
    <cellStyle name="Процентный 2 3 4 2 5" xfId="4254" xr:uid="{00000000-0005-0000-0000-0000B81C0000}"/>
    <cellStyle name="Процентный 2 3 4 2 6" xfId="4255" xr:uid="{00000000-0005-0000-0000-0000B91C0000}"/>
    <cellStyle name="Процентный 2 3 4 2 7" xfId="4256" xr:uid="{00000000-0005-0000-0000-0000BA1C0000}"/>
    <cellStyle name="Процентный 2 3 4 3" xfId="4257" xr:uid="{00000000-0005-0000-0000-0000BB1C0000}"/>
    <cellStyle name="Процентный 2 3 4 4" xfId="4258" xr:uid="{00000000-0005-0000-0000-0000BC1C0000}"/>
    <cellStyle name="Процентный 2 3 4 5" xfId="4259" xr:uid="{00000000-0005-0000-0000-0000BD1C0000}"/>
    <cellStyle name="Процентный 2 3 4 6" xfId="4260" xr:uid="{00000000-0005-0000-0000-0000BE1C0000}"/>
    <cellStyle name="Процентный 2 3 4 7" xfId="4261" xr:uid="{00000000-0005-0000-0000-0000BF1C0000}"/>
    <cellStyle name="Процентный 2 3 4 8" xfId="4262" xr:uid="{00000000-0005-0000-0000-0000C01C0000}"/>
    <cellStyle name="Процентный 2 3 5" xfId="4263" xr:uid="{00000000-0005-0000-0000-0000C11C0000}"/>
    <cellStyle name="Процентный 2 3 5 2" xfId="4264" xr:uid="{00000000-0005-0000-0000-0000C21C0000}"/>
    <cellStyle name="Процентный 2 3 5 2 2" xfId="4265" xr:uid="{00000000-0005-0000-0000-0000C31C0000}"/>
    <cellStyle name="Процентный 2 3 5 2 3" xfId="4266" xr:uid="{00000000-0005-0000-0000-0000C41C0000}"/>
    <cellStyle name="Процентный 2 3 5 2 4" xfId="4267" xr:uid="{00000000-0005-0000-0000-0000C51C0000}"/>
    <cellStyle name="Процентный 2 3 5 2 5" xfId="4268" xr:uid="{00000000-0005-0000-0000-0000C61C0000}"/>
    <cellStyle name="Процентный 2 3 5 2 6" xfId="4269" xr:uid="{00000000-0005-0000-0000-0000C71C0000}"/>
    <cellStyle name="Процентный 2 3 5 2 7" xfId="4270" xr:uid="{00000000-0005-0000-0000-0000C81C0000}"/>
    <cellStyle name="Процентный 2 3 5 3" xfId="4271" xr:uid="{00000000-0005-0000-0000-0000C91C0000}"/>
    <cellStyle name="Процентный 2 3 5 4" xfId="4272" xr:uid="{00000000-0005-0000-0000-0000CA1C0000}"/>
    <cellStyle name="Процентный 2 3 5 5" xfId="4273" xr:uid="{00000000-0005-0000-0000-0000CB1C0000}"/>
    <cellStyle name="Процентный 2 3 5 6" xfId="4274" xr:uid="{00000000-0005-0000-0000-0000CC1C0000}"/>
    <cellStyle name="Процентный 2 3 5 7" xfId="4275" xr:uid="{00000000-0005-0000-0000-0000CD1C0000}"/>
    <cellStyle name="Процентный 2 3 5 8" xfId="4276" xr:uid="{00000000-0005-0000-0000-0000CE1C0000}"/>
    <cellStyle name="Процентный 2 3 6" xfId="4277" xr:uid="{00000000-0005-0000-0000-0000CF1C0000}"/>
    <cellStyle name="Процентный 2 3 6 2" xfId="4278" xr:uid="{00000000-0005-0000-0000-0000D01C0000}"/>
    <cellStyle name="Процентный 2 3 6 2 2" xfId="4279" xr:uid="{00000000-0005-0000-0000-0000D11C0000}"/>
    <cellStyle name="Процентный 2 3 6 2 3" xfId="4280" xr:uid="{00000000-0005-0000-0000-0000D21C0000}"/>
    <cellStyle name="Процентный 2 3 6 2 4" xfId="4281" xr:uid="{00000000-0005-0000-0000-0000D31C0000}"/>
    <cellStyle name="Процентный 2 3 6 2 5" xfId="4282" xr:uid="{00000000-0005-0000-0000-0000D41C0000}"/>
    <cellStyle name="Процентный 2 3 6 2 6" xfId="4283" xr:uid="{00000000-0005-0000-0000-0000D51C0000}"/>
    <cellStyle name="Процентный 2 3 6 2 7" xfId="4284" xr:uid="{00000000-0005-0000-0000-0000D61C0000}"/>
    <cellStyle name="Процентный 2 3 6 3" xfId="4285" xr:uid="{00000000-0005-0000-0000-0000D71C0000}"/>
    <cellStyle name="Процентный 2 3 6 4" xfId="4286" xr:uid="{00000000-0005-0000-0000-0000D81C0000}"/>
    <cellStyle name="Процентный 2 3 6 5" xfId="4287" xr:uid="{00000000-0005-0000-0000-0000D91C0000}"/>
    <cellStyle name="Процентный 2 3 6 6" xfId="4288" xr:uid="{00000000-0005-0000-0000-0000DA1C0000}"/>
    <cellStyle name="Процентный 2 3 6 7" xfId="4289" xr:uid="{00000000-0005-0000-0000-0000DB1C0000}"/>
    <cellStyle name="Процентный 2 3 6 8" xfId="4290" xr:uid="{00000000-0005-0000-0000-0000DC1C0000}"/>
    <cellStyle name="Процентный 2 3 7" xfId="4291" xr:uid="{00000000-0005-0000-0000-0000DD1C0000}"/>
    <cellStyle name="Процентный 2 3 7 2" xfId="4292" xr:uid="{00000000-0005-0000-0000-0000DE1C0000}"/>
    <cellStyle name="Процентный 2 3 7 2 2" xfId="4293" xr:uid="{00000000-0005-0000-0000-0000DF1C0000}"/>
    <cellStyle name="Процентный 2 3 7 2 3" xfId="4294" xr:uid="{00000000-0005-0000-0000-0000E01C0000}"/>
    <cellStyle name="Процентный 2 3 7 2 4" xfId="4295" xr:uid="{00000000-0005-0000-0000-0000E11C0000}"/>
    <cellStyle name="Процентный 2 3 7 2 5" xfId="4296" xr:uid="{00000000-0005-0000-0000-0000E21C0000}"/>
    <cellStyle name="Процентный 2 3 7 2 6" xfId="4297" xr:uid="{00000000-0005-0000-0000-0000E31C0000}"/>
    <cellStyle name="Процентный 2 3 7 2 7" xfId="4298" xr:uid="{00000000-0005-0000-0000-0000E41C0000}"/>
    <cellStyle name="Процентный 2 3 7 3" xfId="4299" xr:uid="{00000000-0005-0000-0000-0000E51C0000}"/>
    <cellStyle name="Процентный 2 3 7 4" xfId="4300" xr:uid="{00000000-0005-0000-0000-0000E61C0000}"/>
    <cellStyle name="Процентный 2 3 7 5" xfId="4301" xr:uid="{00000000-0005-0000-0000-0000E71C0000}"/>
    <cellStyle name="Процентный 2 3 7 6" xfId="4302" xr:uid="{00000000-0005-0000-0000-0000E81C0000}"/>
    <cellStyle name="Процентный 2 3 7 7" xfId="4303" xr:uid="{00000000-0005-0000-0000-0000E91C0000}"/>
    <cellStyle name="Процентный 2 3 7 8" xfId="4304" xr:uid="{00000000-0005-0000-0000-0000EA1C0000}"/>
    <cellStyle name="Процентный 2 3 8" xfId="4305" xr:uid="{00000000-0005-0000-0000-0000EB1C0000}"/>
    <cellStyle name="Процентный 2 3 8 2" xfId="4306" xr:uid="{00000000-0005-0000-0000-0000EC1C0000}"/>
    <cellStyle name="Процентный 2 3 8 3" xfId="4307" xr:uid="{00000000-0005-0000-0000-0000ED1C0000}"/>
    <cellStyle name="Процентный 2 3 8 4" xfId="4308" xr:uid="{00000000-0005-0000-0000-0000EE1C0000}"/>
    <cellStyle name="Процентный 2 3 8 5" xfId="4309" xr:uid="{00000000-0005-0000-0000-0000EF1C0000}"/>
    <cellStyle name="Процентный 2 3 8 6" xfId="4310" xr:uid="{00000000-0005-0000-0000-0000F01C0000}"/>
    <cellStyle name="Процентный 2 3 8 7" xfId="4311" xr:uid="{00000000-0005-0000-0000-0000F11C0000}"/>
    <cellStyle name="Процентный 2 3 9" xfId="4312" xr:uid="{00000000-0005-0000-0000-0000F21C0000}"/>
    <cellStyle name="Процентный 2 4" xfId="4313" xr:uid="{00000000-0005-0000-0000-0000F31C0000}"/>
    <cellStyle name="Процентный 2 5" xfId="4314" xr:uid="{00000000-0005-0000-0000-0000F41C0000}"/>
    <cellStyle name="Процентный 2 6" xfId="4315" xr:uid="{00000000-0005-0000-0000-0000F51C0000}"/>
    <cellStyle name="Процентный 2 7" xfId="4316" xr:uid="{00000000-0005-0000-0000-0000F61C0000}"/>
    <cellStyle name="Процентный 3" xfId="4317" xr:uid="{00000000-0005-0000-0000-0000F71C0000}"/>
    <cellStyle name="Процентный 3 10" xfId="4318" xr:uid="{00000000-0005-0000-0000-0000F81C0000}"/>
    <cellStyle name="Процентный 3 11" xfId="4319" xr:uid="{00000000-0005-0000-0000-0000F91C0000}"/>
    <cellStyle name="Процентный 3 12" xfId="4320" xr:uid="{00000000-0005-0000-0000-0000FA1C0000}"/>
    <cellStyle name="Процентный 3 2" xfId="4321" xr:uid="{00000000-0005-0000-0000-0000FB1C0000}"/>
    <cellStyle name="Процентный 3 3" xfId="4322" xr:uid="{00000000-0005-0000-0000-0000FC1C0000}"/>
    <cellStyle name="Процентный 3 4" xfId="4323" xr:uid="{00000000-0005-0000-0000-0000FD1C0000}"/>
    <cellStyle name="Процентный 3 4 2" xfId="4324" xr:uid="{00000000-0005-0000-0000-0000FE1C0000}"/>
    <cellStyle name="Процентный 3 4 2 2" xfId="4325" xr:uid="{00000000-0005-0000-0000-0000FF1C0000}"/>
    <cellStyle name="Процентный 3 4 2 3" xfId="4326" xr:uid="{00000000-0005-0000-0000-0000001D0000}"/>
    <cellStyle name="Процентный 3 4 2 4" xfId="4327" xr:uid="{00000000-0005-0000-0000-0000011D0000}"/>
    <cellStyle name="Процентный 3 4 2 5" xfId="4328" xr:uid="{00000000-0005-0000-0000-0000021D0000}"/>
    <cellStyle name="Процентный 3 4 2 6" xfId="4329" xr:uid="{00000000-0005-0000-0000-0000031D0000}"/>
    <cellStyle name="Процентный 3 4 2 7" xfId="4330" xr:uid="{00000000-0005-0000-0000-0000041D0000}"/>
    <cellStyle name="Процентный 3 4 3" xfId="4331" xr:uid="{00000000-0005-0000-0000-0000051D0000}"/>
    <cellStyle name="Процентный 3 4 4" xfId="4332" xr:uid="{00000000-0005-0000-0000-0000061D0000}"/>
    <cellStyle name="Процентный 3 4 5" xfId="4333" xr:uid="{00000000-0005-0000-0000-0000071D0000}"/>
    <cellStyle name="Процентный 3 4 6" xfId="4334" xr:uid="{00000000-0005-0000-0000-0000081D0000}"/>
    <cellStyle name="Процентный 3 4 7" xfId="4335" xr:uid="{00000000-0005-0000-0000-0000091D0000}"/>
    <cellStyle name="Процентный 3 4 8" xfId="4336" xr:uid="{00000000-0005-0000-0000-00000A1D0000}"/>
    <cellStyle name="Процентный 3 5" xfId="4337" xr:uid="{00000000-0005-0000-0000-00000B1D0000}"/>
    <cellStyle name="Процентный 3 6" xfId="4338" xr:uid="{00000000-0005-0000-0000-00000C1D0000}"/>
    <cellStyle name="Процентный 3 7" xfId="4339" xr:uid="{00000000-0005-0000-0000-00000D1D0000}"/>
    <cellStyle name="Процентный 3 8" xfId="4340" xr:uid="{00000000-0005-0000-0000-00000E1D0000}"/>
    <cellStyle name="Процентный 3 9" xfId="4341" xr:uid="{00000000-0005-0000-0000-00000F1D0000}"/>
    <cellStyle name="Процентный 4" xfId="4342" xr:uid="{00000000-0005-0000-0000-0000101D0000}"/>
    <cellStyle name="Процентный 4 2" xfId="4343" xr:uid="{00000000-0005-0000-0000-0000111D0000}"/>
    <cellStyle name="Процентный 5" xfId="4344" xr:uid="{00000000-0005-0000-0000-0000121D0000}"/>
    <cellStyle name="Процентный 5 2" xfId="4345" xr:uid="{00000000-0005-0000-0000-0000131D0000}"/>
    <cellStyle name="Процентный 5 2 2" xfId="4346" xr:uid="{00000000-0005-0000-0000-0000141D0000}"/>
    <cellStyle name="Процентный 5 2 2 2" xfId="4347" xr:uid="{00000000-0005-0000-0000-0000151D0000}"/>
    <cellStyle name="Процентный 5 2 2 3" xfId="4348" xr:uid="{00000000-0005-0000-0000-0000161D0000}"/>
    <cellStyle name="Процентный 5 2 2 4" xfId="4349" xr:uid="{00000000-0005-0000-0000-0000171D0000}"/>
    <cellStyle name="Процентный 5 2 2 5" xfId="4350" xr:uid="{00000000-0005-0000-0000-0000181D0000}"/>
    <cellStyle name="Процентный 5 2 2 6" xfId="4351" xr:uid="{00000000-0005-0000-0000-0000191D0000}"/>
    <cellStyle name="Процентный 5 2 2 7" xfId="4352" xr:uid="{00000000-0005-0000-0000-00001A1D0000}"/>
    <cellStyle name="Процентный 5 2 3" xfId="4353" xr:uid="{00000000-0005-0000-0000-00001B1D0000}"/>
    <cellStyle name="Процентный 5 2 4" xfId="4354" xr:uid="{00000000-0005-0000-0000-00001C1D0000}"/>
    <cellStyle name="Процентный 5 2 5" xfId="4355" xr:uid="{00000000-0005-0000-0000-00001D1D0000}"/>
    <cellStyle name="Процентный 5 2 6" xfId="4356" xr:uid="{00000000-0005-0000-0000-00001E1D0000}"/>
    <cellStyle name="Процентный 5 2 7" xfId="4357" xr:uid="{00000000-0005-0000-0000-00001F1D0000}"/>
    <cellStyle name="Процентный 5 2 8" xfId="4358" xr:uid="{00000000-0005-0000-0000-0000201D0000}"/>
    <cellStyle name="Процентный 6" xfId="4359" xr:uid="{00000000-0005-0000-0000-0000211D0000}"/>
    <cellStyle name="Процентный 7" xfId="4360" xr:uid="{00000000-0005-0000-0000-0000221D0000}"/>
    <cellStyle name="Процентный 7 2" xfId="4361" xr:uid="{00000000-0005-0000-0000-0000231D0000}"/>
    <cellStyle name="Процентный 7 2 2" xfId="4362" xr:uid="{00000000-0005-0000-0000-0000241D0000}"/>
    <cellStyle name="Процентный 7 2 3" xfId="4363" xr:uid="{00000000-0005-0000-0000-0000251D0000}"/>
    <cellStyle name="Процентный 7 2 4" xfId="4364" xr:uid="{00000000-0005-0000-0000-0000261D0000}"/>
    <cellStyle name="Процентный 7 2 5" xfId="4365" xr:uid="{00000000-0005-0000-0000-0000271D0000}"/>
    <cellStyle name="Процентный 7 2 6" xfId="4366" xr:uid="{00000000-0005-0000-0000-0000281D0000}"/>
    <cellStyle name="Процентный 7 2 7" xfId="4367" xr:uid="{00000000-0005-0000-0000-0000291D0000}"/>
    <cellStyle name="Процентный 7 3" xfId="4368" xr:uid="{00000000-0005-0000-0000-00002A1D0000}"/>
    <cellStyle name="Процентный 7 4" xfId="4369" xr:uid="{00000000-0005-0000-0000-00002B1D0000}"/>
    <cellStyle name="Процентный 7 5" xfId="4370" xr:uid="{00000000-0005-0000-0000-00002C1D0000}"/>
    <cellStyle name="Процентный 7 6" xfId="4371" xr:uid="{00000000-0005-0000-0000-00002D1D0000}"/>
    <cellStyle name="Процентный 7 7" xfId="4372" xr:uid="{00000000-0005-0000-0000-00002E1D0000}"/>
    <cellStyle name="Процентный 7 8" xfId="4373" xr:uid="{00000000-0005-0000-0000-00002F1D0000}"/>
    <cellStyle name="Процентный 8" xfId="4374" xr:uid="{00000000-0005-0000-0000-0000301D0000}"/>
    <cellStyle name="Процентный 8 2" xfId="4375" xr:uid="{00000000-0005-0000-0000-0000311D0000}"/>
    <cellStyle name="Процентный 8 3" xfId="4376" xr:uid="{00000000-0005-0000-0000-0000321D0000}"/>
    <cellStyle name="Процентный 8 4" xfId="4377" xr:uid="{00000000-0005-0000-0000-0000331D0000}"/>
    <cellStyle name="Процентный 8 5" xfId="4378" xr:uid="{00000000-0005-0000-0000-0000341D0000}"/>
    <cellStyle name="Процентный 8 6" xfId="4379" xr:uid="{00000000-0005-0000-0000-0000351D0000}"/>
    <cellStyle name="Процентный 9" xfId="4380" xr:uid="{00000000-0005-0000-0000-0000361D0000}"/>
    <cellStyle name="Процентный 9 2" xfId="4381" xr:uid="{00000000-0005-0000-0000-0000371D0000}"/>
    <cellStyle name="Процентный 9 2 2" xfId="4382" xr:uid="{00000000-0005-0000-0000-0000381D0000}"/>
    <cellStyle name="Процентный 9 2 3" xfId="4383" xr:uid="{00000000-0005-0000-0000-0000391D0000}"/>
    <cellStyle name="Процентный 9 2 4" xfId="4384" xr:uid="{00000000-0005-0000-0000-00003A1D0000}"/>
    <cellStyle name="Процентный 9 2 5" xfId="4385" xr:uid="{00000000-0005-0000-0000-00003B1D0000}"/>
    <cellStyle name="Процентный 9 2 6" xfId="4386" xr:uid="{00000000-0005-0000-0000-00003C1D0000}"/>
    <cellStyle name="Процентный 9 2 7" xfId="4387" xr:uid="{00000000-0005-0000-0000-00003D1D0000}"/>
    <cellStyle name="Процентный 9 3" xfId="4388" xr:uid="{00000000-0005-0000-0000-00003E1D0000}"/>
    <cellStyle name="Процентный 9 4" xfId="4389" xr:uid="{00000000-0005-0000-0000-00003F1D0000}"/>
    <cellStyle name="Процентный 9 5" xfId="4390" xr:uid="{00000000-0005-0000-0000-0000401D0000}"/>
    <cellStyle name="Процентный 9 6" xfId="4391" xr:uid="{00000000-0005-0000-0000-0000411D0000}"/>
    <cellStyle name="Процентный 9 7" xfId="4392" xr:uid="{00000000-0005-0000-0000-0000421D0000}"/>
    <cellStyle name="Процентный 9 8" xfId="4393" xr:uid="{00000000-0005-0000-0000-0000431D0000}"/>
    <cellStyle name="Связанная ячейка 2" xfId="4394" xr:uid="{00000000-0005-0000-0000-0000441D0000}"/>
    <cellStyle name="Связанная ячейка 2 2" xfId="4395" xr:uid="{00000000-0005-0000-0000-0000451D0000}"/>
    <cellStyle name="Связанная ячейка 2 3" xfId="4396" xr:uid="{00000000-0005-0000-0000-0000461D0000}"/>
    <cellStyle name="Связанная ячейка 2 4" xfId="4397" xr:uid="{00000000-0005-0000-0000-0000471D0000}"/>
    <cellStyle name="Связанная ячейка 2 5" xfId="4398" xr:uid="{00000000-0005-0000-0000-0000481D0000}"/>
    <cellStyle name="Связанная ячейка 2 6" xfId="4399" xr:uid="{00000000-0005-0000-0000-0000491D0000}"/>
    <cellStyle name="Связанная ячейка 2 7" xfId="4400" xr:uid="{00000000-0005-0000-0000-00004A1D0000}"/>
    <cellStyle name="Связанная ячейка 2 8" xfId="4401" xr:uid="{00000000-0005-0000-0000-00004B1D0000}"/>
    <cellStyle name="Связанная ячейка 2 9" xfId="4402" xr:uid="{00000000-0005-0000-0000-00004C1D0000}"/>
    <cellStyle name="Связанная ячейка 3" xfId="4403" xr:uid="{00000000-0005-0000-0000-00004D1D0000}"/>
    <cellStyle name="Стиль 1" xfId="4404" xr:uid="{00000000-0005-0000-0000-00004E1D0000}"/>
    <cellStyle name="Стиль 1 2" xfId="4405" xr:uid="{00000000-0005-0000-0000-00004F1D0000}"/>
    <cellStyle name="Стиль 2" xfId="4406" xr:uid="{00000000-0005-0000-0000-0000501D0000}"/>
    <cellStyle name="Текст предупреждения 2" xfId="4407" xr:uid="{00000000-0005-0000-0000-0000511D0000}"/>
    <cellStyle name="Текст предупреждения 2 2" xfId="4408" xr:uid="{00000000-0005-0000-0000-0000521D0000}"/>
    <cellStyle name="Текст предупреждения 2 3" xfId="4409" xr:uid="{00000000-0005-0000-0000-0000531D0000}"/>
    <cellStyle name="Текст предупреждения 2 4" xfId="4410" xr:uid="{00000000-0005-0000-0000-0000541D0000}"/>
    <cellStyle name="Текст предупреждения 2 5" xfId="4411" xr:uid="{00000000-0005-0000-0000-0000551D0000}"/>
    <cellStyle name="Текст предупреждения 2 6" xfId="4412" xr:uid="{00000000-0005-0000-0000-0000561D0000}"/>
    <cellStyle name="Текст предупреждения 2 7" xfId="4413" xr:uid="{00000000-0005-0000-0000-0000571D0000}"/>
    <cellStyle name="Текст предупреждения 2 8" xfId="4414" xr:uid="{00000000-0005-0000-0000-0000581D0000}"/>
    <cellStyle name="Текст предупреждения 2 9" xfId="4415" xr:uid="{00000000-0005-0000-0000-0000591D0000}"/>
    <cellStyle name="Текст предупреждения 3" xfId="4416" xr:uid="{00000000-0005-0000-0000-00005A1D0000}"/>
    <cellStyle name="Финансовый" xfId="8147" builtinId="3"/>
    <cellStyle name="Финансовый 10" xfId="4417" xr:uid="{00000000-0005-0000-0000-00005C1D0000}"/>
    <cellStyle name="Финансовый 10 10" xfId="4418" xr:uid="{00000000-0005-0000-0000-00005D1D0000}"/>
    <cellStyle name="Финансовый 10 2" xfId="4419" xr:uid="{00000000-0005-0000-0000-00005E1D0000}"/>
    <cellStyle name="Финансовый 10 3" xfId="4420" xr:uid="{00000000-0005-0000-0000-00005F1D0000}"/>
    <cellStyle name="Финансовый 10 4" xfId="4421" xr:uid="{00000000-0005-0000-0000-0000601D0000}"/>
    <cellStyle name="Финансовый 10 5" xfId="4422" xr:uid="{00000000-0005-0000-0000-0000611D0000}"/>
    <cellStyle name="Финансовый 10 6" xfId="4423" xr:uid="{00000000-0005-0000-0000-0000621D0000}"/>
    <cellStyle name="Финансовый 10 7" xfId="4424" xr:uid="{00000000-0005-0000-0000-0000631D0000}"/>
    <cellStyle name="Финансовый 10 8" xfId="4425" xr:uid="{00000000-0005-0000-0000-0000641D0000}"/>
    <cellStyle name="Финансовый 10 9" xfId="4426" xr:uid="{00000000-0005-0000-0000-0000651D0000}"/>
    <cellStyle name="Финансовый 11" xfId="4427" xr:uid="{00000000-0005-0000-0000-0000661D0000}"/>
    <cellStyle name="Финансовый 12" xfId="4428" xr:uid="{00000000-0005-0000-0000-0000671D0000}"/>
    <cellStyle name="Финансовый 12 2" xfId="4429" xr:uid="{00000000-0005-0000-0000-0000681D0000}"/>
    <cellStyle name="Финансовый 13" xfId="4430" xr:uid="{00000000-0005-0000-0000-0000691D0000}"/>
    <cellStyle name="Финансовый 14" xfId="4431" xr:uid="{00000000-0005-0000-0000-00006A1D0000}"/>
    <cellStyle name="Финансовый 14 2" xfId="4432" xr:uid="{00000000-0005-0000-0000-00006B1D0000}"/>
    <cellStyle name="Финансовый 15" xfId="4433" xr:uid="{00000000-0005-0000-0000-00006C1D0000}"/>
    <cellStyle name="Финансовый 16" xfId="4434" xr:uid="{00000000-0005-0000-0000-00006D1D0000}"/>
    <cellStyle name="Финансовый 16 2" xfId="4435" xr:uid="{00000000-0005-0000-0000-00006E1D0000}"/>
    <cellStyle name="Финансовый 16 2 2" xfId="4436" xr:uid="{00000000-0005-0000-0000-00006F1D0000}"/>
    <cellStyle name="Финансовый 16 2 2 2" xfId="4437" xr:uid="{00000000-0005-0000-0000-0000701D0000}"/>
    <cellStyle name="Финансовый 16 2 2 3" xfId="4438" xr:uid="{00000000-0005-0000-0000-0000711D0000}"/>
    <cellStyle name="Финансовый 16 2 2 4" xfId="4439" xr:uid="{00000000-0005-0000-0000-0000721D0000}"/>
    <cellStyle name="Финансовый 16 2 2 5" xfId="4440" xr:uid="{00000000-0005-0000-0000-0000731D0000}"/>
    <cellStyle name="Финансовый 16 2 2 6" xfId="4441" xr:uid="{00000000-0005-0000-0000-0000741D0000}"/>
    <cellStyle name="Финансовый 16 2 2 7" xfId="4442" xr:uid="{00000000-0005-0000-0000-0000751D0000}"/>
    <cellStyle name="Финансовый 16 2 3" xfId="4443" xr:uid="{00000000-0005-0000-0000-0000761D0000}"/>
    <cellStyle name="Финансовый 16 2 4" xfId="4444" xr:uid="{00000000-0005-0000-0000-0000771D0000}"/>
    <cellStyle name="Финансовый 16 2 5" xfId="4445" xr:uid="{00000000-0005-0000-0000-0000781D0000}"/>
    <cellStyle name="Финансовый 16 2 6" xfId="4446" xr:uid="{00000000-0005-0000-0000-0000791D0000}"/>
    <cellStyle name="Финансовый 16 2 7" xfId="4447" xr:uid="{00000000-0005-0000-0000-00007A1D0000}"/>
    <cellStyle name="Финансовый 16 2 8" xfId="4448" xr:uid="{00000000-0005-0000-0000-00007B1D0000}"/>
    <cellStyle name="Финансовый 16 3" xfId="4449" xr:uid="{00000000-0005-0000-0000-00007C1D0000}"/>
    <cellStyle name="Финансовый 16 3 2" xfId="4450" xr:uid="{00000000-0005-0000-0000-00007D1D0000}"/>
    <cellStyle name="Финансовый 16 3 3" xfId="4451" xr:uid="{00000000-0005-0000-0000-00007E1D0000}"/>
    <cellStyle name="Финансовый 16 3 4" xfId="4452" xr:uid="{00000000-0005-0000-0000-00007F1D0000}"/>
    <cellStyle name="Финансовый 16 3 5" xfId="4453" xr:uid="{00000000-0005-0000-0000-0000801D0000}"/>
    <cellStyle name="Финансовый 16 3 6" xfId="4454" xr:uid="{00000000-0005-0000-0000-0000811D0000}"/>
    <cellStyle name="Финансовый 16 3 7" xfId="4455" xr:uid="{00000000-0005-0000-0000-0000821D0000}"/>
    <cellStyle name="Финансовый 16 4" xfId="4456" xr:uid="{00000000-0005-0000-0000-0000831D0000}"/>
    <cellStyle name="Финансовый 16 5" xfId="4457" xr:uid="{00000000-0005-0000-0000-0000841D0000}"/>
    <cellStyle name="Финансовый 16 6" xfId="4458" xr:uid="{00000000-0005-0000-0000-0000851D0000}"/>
    <cellStyle name="Финансовый 16 7" xfId="4459" xr:uid="{00000000-0005-0000-0000-0000861D0000}"/>
    <cellStyle name="Финансовый 16 8" xfId="4460" xr:uid="{00000000-0005-0000-0000-0000871D0000}"/>
    <cellStyle name="Финансовый 16 9" xfId="4461" xr:uid="{00000000-0005-0000-0000-0000881D0000}"/>
    <cellStyle name="Финансовый 17" xfId="4462" xr:uid="{00000000-0005-0000-0000-0000891D0000}"/>
    <cellStyle name="Финансовый 17 2" xfId="4463" xr:uid="{00000000-0005-0000-0000-00008A1D0000}"/>
    <cellStyle name="Финансовый 17 2 2" xfId="4464" xr:uid="{00000000-0005-0000-0000-00008B1D0000}"/>
    <cellStyle name="Финансовый 17 2 2 2" xfId="4465" xr:uid="{00000000-0005-0000-0000-00008C1D0000}"/>
    <cellStyle name="Финансовый 17 2 2 3" xfId="4466" xr:uid="{00000000-0005-0000-0000-00008D1D0000}"/>
    <cellStyle name="Финансовый 17 2 2 4" xfId="4467" xr:uid="{00000000-0005-0000-0000-00008E1D0000}"/>
    <cellStyle name="Финансовый 17 2 2 5" xfId="4468" xr:uid="{00000000-0005-0000-0000-00008F1D0000}"/>
    <cellStyle name="Финансовый 17 2 2 6" xfId="4469" xr:uid="{00000000-0005-0000-0000-0000901D0000}"/>
    <cellStyle name="Финансовый 17 2 2 7" xfId="4470" xr:uid="{00000000-0005-0000-0000-0000911D0000}"/>
    <cellStyle name="Финансовый 17 2 3" xfId="4471" xr:uid="{00000000-0005-0000-0000-0000921D0000}"/>
    <cellStyle name="Финансовый 17 2 4" xfId="4472" xr:uid="{00000000-0005-0000-0000-0000931D0000}"/>
    <cellStyle name="Финансовый 17 2 5" xfId="4473" xr:uid="{00000000-0005-0000-0000-0000941D0000}"/>
    <cellStyle name="Финансовый 17 2 6" xfId="4474" xr:uid="{00000000-0005-0000-0000-0000951D0000}"/>
    <cellStyle name="Финансовый 17 2 7" xfId="4475" xr:uid="{00000000-0005-0000-0000-0000961D0000}"/>
    <cellStyle name="Финансовый 17 2 8" xfId="4476" xr:uid="{00000000-0005-0000-0000-0000971D0000}"/>
    <cellStyle name="Финансовый 17 3" xfId="4477" xr:uid="{00000000-0005-0000-0000-0000981D0000}"/>
    <cellStyle name="Финансовый 17 3 2" xfId="4478" xr:uid="{00000000-0005-0000-0000-0000991D0000}"/>
    <cellStyle name="Финансовый 17 3 3" xfId="4479" xr:uid="{00000000-0005-0000-0000-00009A1D0000}"/>
    <cellStyle name="Финансовый 17 3 4" xfId="4480" xr:uid="{00000000-0005-0000-0000-00009B1D0000}"/>
    <cellStyle name="Финансовый 17 3 5" xfId="4481" xr:uid="{00000000-0005-0000-0000-00009C1D0000}"/>
    <cellStyle name="Финансовый 17 3 6" xfId="4482" xr:uid="{00000000-0005-0000-0000-00009D1D0000}"/>
    <cellStyle name="Финансовый 17 3 7" xfId="4483" xr:uid="{00000000-0005-0000-0000-00009E1D0000}"/>
    <cellStyle name="Финансовый 17 4" xfId="4484" xr:uid="{00000000-0005-0000-0000-00009F1D0000}"/>
    <cellStyle name="Финансовый 17 5" xfId="4485" xr:uid="{00000000-0005-0000-0000-0000A01D0000}"/>
    <cellStyle name="Финансовый 17 6" xfId="4486" xr:uid="{00000000-0005-0000-0000-0000A11D0000}"/>
    <cellStyle name="Финансовый 17 7" xfId="4487" xr:uid="{00000000-0005-0000-0000-0000A21D0000}"/>
    <cellStyle name="Финансовый 17 8" xfId="4488" xr:uid="{00000000-0005-0000-0000-0000A31D0000}"/>
    <cellStyle name="Финансовый 17 9" xfId="4489" xr:uid="{00000000-0005-0000-0000-0000A41D0000}"/>
    <cellStyle name="Финансовый 18" xfId="4490" xr:uid="{00000000-0005-0000-0000-0000A51D0000}"/>
    <cellStyle name="Финансовый 19" xfId="4491" xr:uid="{00000000-0005-0000-0000-0000A61D0000}"/>
    <cellStyle name="Финансовый 19 2" xfId="4492" xr:uid="{00000000-0005-0000-0000-0000A71D0000}"/>
    <cellStyle name="Финансовый 19 2 2" xfId="4493" xr:uid="{00000000-0005-0000-0000-0000A81D0000}"/>
    <cellStyle name="Финансовый 19 2 3" xfId="4494" xr:uid="{00000000-0005-0000-0000-0000A91D0000}"/>
    <cellStyle name="Финансовый 19 2 4" xfId="4495" xr:uid="{00000000-0005-0000-0000-0000AA1D0000}"/>
    <cellStyle name="Финансовый 19 2 5" xfId="4496" xr:uid="{00000000-0005-0000-0000-0000AB1D0000}"/>
    <cellStyle name="Финансовый 19 2 6" xfId="4497" xr:uid="{00000000-0005-0000-0000-0000AC1D0000}"/>
    <cellStyle name="Финансовый 19 2 7" xfId="4498" xr:uid="{00000000-0005-0000-0000-0000AD1D0000}"/>
    <cellStyle name="Финансовый 19 3" xfId="4499" xr:uid="{00000000-0005-0000-0000-0000AE1D0000}"/>
    <cellStyle name="Финансовый 19 4" xfId="4500" xr:uid="{00000000-0005-0000-0000-0000AF1D0000}"/>
    <cellStyle name="Финансовый 19 5" xfId="4501" xr:uid="{00000000-0005-0000-0000-0000B01D0000}"/>
    <cellStyle name="Финансовый 19 6" xfId="4502" xr:uid="{00000000-0005-0000-0000-0000B11D0000}"/>
    <cellStyle name="Финансовый 19 7" xfId="4503" xr:uid="{00000000-0005-0000-0000-0000B21D0000}"/>
    <cellStyle name="Финансовый 19 8" xfId="4504" xr:uid="{00000000-0005-0000-0000-0000B31D0000}"/>
    <cellStyle name="Финансовый 2" xfId="4505" xr:uid="{00000000-0005-0000-0000-0000B41D0000}"/>
    <cellStyle name="Финансовый 2 10" xfId="4506" xr:uid="{00000000-0005-0000-0000-0000B51D0000}"/>
    <cellStyle name="Финансовый 2 11" xfId="4507" xr:uid="{00000000-0005-0000-0000-0000B61D0000}"/>
    <cellStyle name="Финансовый 2 12" xfId="4508" xr:uid="{00000000-0005-0000-0000-0000B71D0000}"/>
    <cellStyle name="Финансовый 2 13" xfId="4509" xr:uid="{00000000-0005-0000-0000-0000B81D0000}"/>
    <cellStyle name="Финансовый 2 14" xfId="4510" xr:uid="{00000000-0005-0000-0000-0000B91D0000}"/>
    <cellStyle name="Финансовый 2 14 2" xfId="4511" xr:uid="{00000000-0005-0000-0000-0000BA1D0000}"/>
    <cellStyle name="Финансовый 2 14 3" xfId="4512" xr:uid="{00000000-0005-0000-0000-0000BB1D0000}"/>
    <cellStyle name="Финансовый 2 14 4" xfId="4513" xr:uid="{00000000-0005-0000-0000-0000BC1D0000}"/>
    <cellStyle name="Финансовый 2 14 5" xfId="4514" xr:uid="{00000000-0005-0000-0000-0000BD1D0000}"/>
    <cellStyle name="Финансовый 2 14 6" xfId="4515" xr:uid="{00000000-0005-0000-0000-0000BE1D0000}"/>
    <cellStyle name="Финансовый 2 14 7" xfId="4516" xr:uid="{00000000-0005-0000-0000-0000BF1D0000}"/>
    <cellStyle name="Финансовый 2 15" xfId="4517" xr:uid="{00000000-0005-0000-0000-0000C01D0000}"/>
    <cellStyle name="Финансовый 2 16" xfId="4518" xr:uid="{00000000-0005-0000-0000-0000C11D0000}"/>
    <cellStyle name="Финансовый 2 17" xfId="4519" xr:uid="{00000000-0005-0000-0000-0000C21D0000}"/>
    <cellStyle name="Финансовый 2 18" xfId="4520" xr:uid="{00000000-0005-0000-0000-0000C31D0000}"/>
    <cellStyle name="Финансовый 2 19" xfId="4521" xr:uid="{00000000-0005-0000-0000-0000C41D0000}"/>
    <cellStyle name="Финансовый 2 2" xfId="4522" xr:uid="{00000000-0005-0000-0000-0000C51D0000}"/>
    <cellStyle name="Финансовый 2 2 10" xfId="4523" xr:uid="{00000000-0005-0000-0000-0000C61D0000}"/>
    <cellStyle name="Финансовый 2 2 10 2" xfId="4524" xr:uid="{00000000-0005-0000-0000-0000C71D0000}"/>
    <cellStyle name="Финансовый 2 2 10 3" xfId="4525" xr:uid="{00000000-0005-0000-0000-0000C81D0000}"/>
    <cellStyle name="Финансовый 2 2 10 4" xfId="4526" xr:uid="{00000000-0005-0000-0000-0000C91D0000}"/>
    <cellStyle name="Финансовый 2 2 10 5" xfId="4527" xr:uid="{00000000-0005-0000-0000-0000CA1D0000}"/>
    <cellStyle name="Финансовый 2 2 10 6" xfId="4528" xr:uid="{00000000-0005-0000-0000-0000CB1D0000}"/>
    <cellStyle name="Финансовый 2 2 10 7" xfId="4529" xr:uid="{00000000-0005-0000-0000-0000CC1D0000}"/>
    <cellStyle name="Финансовый 2 2 11" xfId="4530" xr:uid="{00000000-0005-0000-0000-0000CD1D0000}"/>
    <cellStyle name="Финансовый 2 2 12" xfId="4531" xr:uid="{00000000-0005-0000-0000-0000CE1D0000}"/>
    <cellStyle name="Финансовый 2 2 13" xfId="4532" xr:uid="{00000000-0005-0000-0000-0000CF1D0000}"/>
    <cellStyle name="Финансовый 2 2 14" xfId="4533" xr:uid="{00000000-0005-0000-0000-0000D01D0000}"/>
    <cellStyle name="Финансовый 2 2 15" xfId="4534" xr:uid="{00000000-0005-0000-0000-0000D11D0000}"/>
    <cellStyle name="Финансовый 2 2 16" xfId="4535" xr:uid="{00000000-0005-0000-0000-0000D21D0000}"/>
    <cellStyle name="Финансовый 2 2 2" xfId="4536" xr:uid="{00000000-0005-0000-0000-0000D31D0000}"/>
    <cellStyle name="Финансовый 2 2 2 2" xfId="4537" xr:uid="{00000000-0005-0000-0000-0000D41D0000}"/>
    <cellStyle name="Финансовый 2 2 2 3" xfId="4538" xr:uid="{00000000-0005-0000-0000-0000D51D0000}"/>
    <cellStyle name="Финансовый 2 2 2 3 2" xfId="4539" xr:uid="{00000000-0005-0000-0000-0000D61D0000}"/>
    <cellStyle name="Финансовый 2 2 2 3 2 2" xfId="4540" xr:uid="{00000000-0005-0000-0000-0000D71D0000}"/>
    <cellStyle name="Финансовый 2 2 2 3 2 3" xfId="4541" xr:uid="{00000000-0005-0000-0000-0000D81D0000}"/>
    <cellStyle name="Финансовый 2 2 2 3 2 4" xfId="4542" xr:uid="{00000000-0005-0000-0000-0000D91D0000}"/>
    <cellStyle name="Финансовый 2 2 2 3 2 5" xfId="4543" xr:uid="{00000000-0005-0000-0000-0000DA1D0000}"/>
    <cellStyle name="Финансовый 2 2 2 3 2 6" xfId="4544" xr:uid="{00000000-0005-0000-0000-0000DB1D0000}"/>
    <cellStyle name="Финансовый 2 2 2 3 2 7" xfId="4545" xr:uid="{00000000-0005-0000-0000-0000DC1D0000}"/>
    <cellStyle name="Финансовый 2 2 2 3 3" xfId="4546" xr:uid="{00000000-0005-0000-0000-0000DD1D0000}"/>
    <cellStyle name="Финансовый 2 2 2 3 4" xfId="4547" xr:uid="{00000000-0005-0000-0000-0000DE1D0000}"/>
    <cellStyle name="Финансовый 2 2 2 3 5" xfId="4548" xr:uid="{00000000-0005-0000-0000-0000DF1D0000}"/>
    <cellStyle name="Финансовый 2 2 2 3 6" xfId="4549" xr:uid="{00000000-0005-0000-0000-0000E01D0000}"/>
    <cellStyle name="Финансовый 2 2 2 3 7" xfId="4550" xr:uid="{00000000-0005-0000-0000-0000E11D0000}"/>
    <cellStyle name="Финансовый 2 2 2 3 8" xfId="4551" xr:uid="{00000000-0005-0000-0000-0000E21D0000}"/>
    <cellStyle name="Финансовый 2 2 3" xfId="4552" xr:uid="{00000000-0005-0000-0000-0000E31D0000}"/>
    <cellStyle name="Финансовый 2 2 3 2" xfId="4553" xr:uid="{00000000-0005-0000-0000-0000E41D0000}"/>
    <cellStyle name="Финансовый 2 2 3 2 2" xfId="4554" xr:uid="{00000000-0005-0000-0000-0000E51D0000}"/>
    <cellStyle name="Финансовый 2 2 3 2 3" xfId="4555" xr:uid="{00000000-0005-0000-0000-0000E61D0000}"/>
    <cellStyle name="Финансовый 2 2 3 2 4" xfId="4556" xr:uid="{00000000-0005-0000-0000-0000E71D0000}"/>
    <cellStyle name="Финансовый 2 2 3 2 5" xfId="4557" xr:uid="{00000000-0005-0000-0000-0000E81D0000}"/>
    <cellStyle name="Финансовый 2 2 3 2 6" xfId="4558" xr:uid="{00000000-0005-0000-0000-0000E91D0000}"/>
    <cellStyle name="Финансовый 2 2 3 2 7" xfId="4559" xr:uid="{00000000-0005-0000-0000-0000EA1D0000}"/>
    <cellStyle name="Финансовый 2 2 3 3" xfId="4560" xr:uid="{00000000-0005-0000-0000-0000EB1D0000}"/>
    <cellStyle name="Финансовый 2 2 3 4" xfId="4561" xr:uid="{00000000-0005-0000-0000-0000EC1D0000}"/>
    <cellStyle name="Финансовый 2 2 3 5" xfId="4562" xr:uid="{00000000-0005-0000-0000-0000ED1D0000}"/>
    <cellStyle name="Финансовый 2 2 3 6" xfId="4563" xr:uid="{00000000-0005-0000-0000-0000EE1D0000}"/>
    <cellStyle name="Финансовый 2 2 3 7" xfId="4564" xr:uid="{00000000-0005-0000-0000-0000EF1D0000}"/>
    <cellStyle name="Финансовый 2 2 3 8" xfId="4565" xr:uid="{00000000-0005-0000-0000-0000F01D0000}"/>
    <cellStyle name="Финансовый 2 2 4" xfId="4566" xr:uid="{00000000-0005-0000-0000-0000F11D0000}"/>
    <cellStyle name="Финансовый 2 2 4 2" xfId="4567" xr:uid="{00000000-0005-0000-0000-0000F21D0000}"/>
    <cellStyle name="Финансовый 2 2 4 2 2" xfId="4568" xr:uid="{00000000-0005-0000-0000-0000F31D0000}"/>
    <cellStyle name="Финансовый 2 2 4 2 3" xfId="4569" xr:uid="{00000000-0005-0000-0000-0000F41D0000}"/>
    <cellStyle name="Финансовый 2 2 4 2 4" xfId="4570" xr:uid="{00000000-0005-0000-0000-0000F51D0000}"/>
    <cellStyle name="Финансовый 2 2 4 2 5" xfId="4571" xr:uid="{00000000-0005-0000-0000-0000F61D0000}"/>
    <cellStyle name="Финансовый 2 2 4 2 6" xfId="4572" xr:uid="{00000000-0005-0000-0000-0000F71D0000}"/>
    <cellStyle name="Финансовый 2 2 4 2 7" xfId="4573" xr:uid="{00000000-0005-0000-0000-0000F81D0000}"/>
    <cellStyle name="Финансовый 2 2 4 3" xfId="4574" xr:uid="{00000000-0005-0000-0000-0000F91D0000}"/>
    <cellStyle name="Финансовый 2 2 4 4" xfId="4575" xr:uid="{00000000-0005-0000-0000-0000FA1D0000}"/>
    <cellStyle name="Финансовый 2 2 4 5" xfId="4576" xr:uid="{00000000-0005-0000-0000-0000FB1D0000}"/>
    <cellStyle name="Финансовый 2 2 4 6" xfId="4577" xr:uid="{00000000-0005-0000-0000-0000FC1D0000}"/>
    <cellStyle name="Финансовый 2 2 4 7" xfId="4578" xr:uid="{00000000-0005-0000-0000-0000FD1D0000}"/>
    <cellStyle name="Финансовый 2 2 4 8" xfId="4579" xr:uid="{00000000-0005-0000-0000-0000FE1D0000}"/>
    <cellStyle name="Финансовый 2 2 5" xfId="4580" xr:uid="{00000000-0005-0000-0000-0000FF1D0000}"/>
    <cellStyle name="Финансовый 2 2 5 2" xfId="4581" xr:uid="{00000000-0005-0000-0000-0000001E0000}"/>
    <cellStyle name="Финансовый 2 2 5 2 2" xfId="4582" xr:uid="{00000000-0005-0000-0000-0000011E0000}"/>
    <cellStyle name="Финансовый 2 2 5 2 3" xfId="4583" xr:uid="{00000000-0005-0000-0000-0000021E0000}"/>
    <cellStyle name="Финансовый 2 2 5 2 4" xfId="4584" xr:uid="{00000000-0005-0000-0000-0000031E0000}"/>
    <cellStyle name="Финансовый 2 2 5 2 5" xfId="4585" xr:uid="{00000000-0005-0000-0000-0000041E0000}"/>
    <cellStyle name="Финансовый 2 2 5 2 6" xfId="4586" xr:uid="{00000000-0005-0000-0000-0000051E0000}"/>
    <cellStyle name="Финансовый 2 2 5 2 7" xfId="4587" xr:uid="{00000000-0005-0000-0000-0000061E0000}"/>
    <cellStyle name="Финансовый 2 2 5 3" xfId="4588" xr:uid="{00000000-0005-0000-0000-0000071E0000}"/>
    <cellStyle name="Финансовый 2 2 5 4" xfId="4589" xr:uid="{00000000-0005-0000-0000-0000081E0000}"/>
    <cellStyle name="Финансовый 2 2 5 5" xfId="4590" xr:uid="{00000000-0005-0000-0000-0000091E0000}"/>
    <cellStyle name="Финансовый 2 2 5 6" xfId="4591" xr:uid="{00000000-0005-0000-0000-00000A1E0000}"/>
    <cellStyle name="Финансовый 2 2 5 7" xfId="4592" xr:uid="{00000000-0005-0000-0000-00000B1E0000}"/>
    <cellStyle name="Финансовый 2 2 5 8" xfId="4593" xr:uid="{00000000-0005-0000-0000-00000C1E0000}"/>
    <cellStyle name="Финансовый 2 2 6" xfId="4594" xr:uid="{00000000-0005-0000-0000-00000D1E0000}"/>
    <cellStyle name="Финансовый 2 2 6 2" xfId="4595" xr:uid="{00000000-0005-0000-0000-00000E1E0000}"/>
    <cellStyle name="Финансовый 2 2 6 2 2" xfId="4596" xr:uid="{00000000-0005-0000-0000-00000F1E0000}"/>
    <cellStyle name="Финансовый 2 2 6 2 3" xfId="4597" xr:uid="{00000000-0005-0000-0000-0000101E0000}"/>
    <cellStyle name="Финансовый 2 2 6 2 4" xfId="4598" xr:uid="{00000000-0005-0000-0000-0000111E0000}"/>
    <cellStyle name="Финансовый 2 2 6 2 5" xfId="4599" xr:uid="{00000000-0005-0000-0000-0000121E0000}"/>
    <cellStyle name="Финансовый 2 2 6 2 6" xfId="4600" xr:uid="{00000000-0005-0000-0000-0000131E0000}"/>
    <cellStyle name="Финансовый 2 2 6 2 7" xfId="4601" xr:uid="{00000000-0005-0000-0000-0000141E0000}"/>
    <cellStyle name="Финансовый 2 2 6 3" xfId="4602" xr:uid="{00000000-0005-0000-0000-0000151E0000}"/>
    <cellStyle name="Финансовый 2 2 6 4" xfId="4603" xr:uid="{00000000-0005-0000-0000-0000161E0000}"/>
    <cellStyle name="Финансовый 2 2 6 5" xfId="4604" xr:uid="{00000000-0005-0000-0000-0000171E0000}"/>
    <cellStyle name="Финансовый 2 2 6 6" xfId="4605" xr:uid="{00000000-0005-0000-0000-0000181E0000}"/>
    <cellStyle name="Финансовый 2 2 6 7" xfId="4606" xr:uid="{00000000-0005-0000-0000-0000191E0000}"/>
    <cellStyle name="Финансовый 2 2 6 8" xfId="4607" xr:uid="{00000000-0005-0000-0000-00001A1E0000}"/>
    <cellStyle name="Финансовый 2 2 7" xfId="4608" xr:uid="{00000000-0005-0000-0000-00001B1E0000}"/>
    <cellStyle name="Финансовый 2 2 7 2" xfId="4609" xr:uid="{00000000-0005-0000-0000-00001C1E0000}"/>
    <cellStyle name="Финансовый 2 2 7 2 2" xfId="4610" xr:uid="{00000000-0005-0000-0000-00001D1E0000}"/>
    <cellStyle name="Финансовый 2 2 7 2 3" xfId="4611" xr:uid="{00000000-0005-0000-0000-00001E1E0000}"/>
    <cellStyle name="Финансовый 2 2 7 2 4" xfId="4612" xr:uid="{00000000-0005-0000-0000-00001F1E0000}"/>
    <cellStyle name="Финансовый 2 2 7 2 5" xfId="4613" xr:uid="{00000000-0005-0000-0000-0000201E0000}"/>
    <cellStyle name="Финансовый 2 2 7 2 6" xfId="4614" xr:uid="{00000000-0005-0000-0000-0000211E0000}"/>
    <cellStyle name="Финансовый 2 2 7 2 7" xfId="4615" xr:uid="{00000000-0005-0000-0000-0000221E0000}"/>
    <cellStyle name="Финансовый 2 2 7 3" xfId="4616" xr:uid="{00000000-0005-0000-0000-0000231E0000}"/>
    <cellStyle name="Финансовый 2 2 7 4" xfId="4617" xr:uid="{00000000-0005-0000-0000-0000241E0000}"/>
    <cellStyle name="Финансовый 2 2 7 5" xfId="4618" xr:uid="{00000000-0005-0000-0000-0000251E0000}"/>
    <cellStyle name="Финансовый 2 2 7 6" xfId="4619" xr:uid="{00000000-0005-0000-0000-0000261E0000}"/>
    <cellStyle name="Финансовый 2 2 7 7" xfId="4620" xr:uid="{00000000-0005-0000-0000-0000271E0000}"/>
    <cellStyle name="Финансовый 2 2 7 8" xfId="4621" xr:uid="{00000000-0005-0000-0000-0000281E0000}"/>
    <cellStyle name="Финансовый 2 2 8" xfId="4622" xr:uid="{00000000-0005-0000-0000-0000291E0000}"/>
    <cellStyle name="Финансовый 2 2 8 2" xfId="4623" xr:uid="{00000000-0005-0000-0000-00002A1E0000}"/>
    <cellStyle name="Финансовый 2 2 8 2 2" xfId="4624" xr:uid="{00000000-0005-0000-0000-00002B1E0000}"/>
    <cellStyle name="Финансовый 2 2 8 2 3" xfId="4625" xr:uid="{00000000-0005-0000-0000-00002C1E0000}"/>
    <cellStyle name="Финансовый 2 2 8 2 4" xfId="4626" xr:uid="{00000000-0005-0000-0000-00002D1E0000}"/>
    <cellStyle name="Финансовый 2 2 8 2 5" xfId="4627" xr:uid="{00000000-0005-0000-0000-00002E1E0000}"/>
    <cellStyle name="Финансовый 2 2 8 2 6" xfId="4628" xr:uid="{00000000-0005-0000-0000-00002F1E0000}"/>
    <cellStyle name="Финансовый 2 2 8 2 7" xfId="4629" xr:uid="{00000000-0005-0000-0000-0000301E0000}"/>
    <cellStyle name="Финансовый 2 2 8 3" xfId="4630" xr:uid="{00000000-0005-0000-0000-0000311E0000}"/>
    <cellStyle name="Финансовый 2 2 8 4" xfId="4631" xr:uid="{00000000-0005-0000-0000-0000321E0000}"/>
    <cellStyle name="Финансовый 2 2 8 5" xfId="4632" xr:uid="{00000000-0005-0000-0000-0000331E0000}"/>
    <cellStyle name="Финансовый 2 2 8 6" xfId="4633" xr:uid="{00000000-0005-0000-0000-0000341E0000}"/>
    <cellStyle name="Финансовый 2 2 8 7" xfId="4634" xr:uid="{00000000-0005-0000-0000-0000351E0000}"/>
    <cellStyle name="Финансовый 2 2 8 8" xfId="4635" xr:uid="{00000000-0005-0000-0000-0000361E0000}"/>
    <cellStyle name="Финансовый 2 2 9" xfId="4636" xr:uid="{00000000-0005-0000-0000-0000371E0000}"/>
    <cellStyle name="Финансовый 2 2 9 2" xfId="4637" xr:uid="{00000000-0005-0000-0000-0000381E0000}"/>
    <cellStyle name="Финансовый 2 2 9 2 2" xfId="4638" xr:uid="{00000000-0005-0000-0000-0000391E0000}"/>
    <cellStyle name="Финансовый 2 2 9 2 3" xfId="4639" xr:uid="{00000000-0005-0000-0000-00003A1E0000}"/>
    <cellStyle name="Финансовый 2 2 9 2 4" xfId="4640" xr:uid="{00000000-0005-0000-0000-00003B1E0000}"/>
    <cellStyle name="Финансовый 2 2 9 2 5" xfId="4641" xr:uid="{00000000-0005-0000-0000-00003C1E0000}"/>
    <cellStyle name="Финансовый 2 2 9 2 6" xfId="4642" xr:uid="{00000000-0005-0000-0000-00003D1E0000}"/>
    <cellStyle name="Финансовый 2 2 9 2 7" xfId="4643" xr:uid="{00000000-0005-0000-0000-00003E1E0000}"/>
    <cellStyle name="Финансовый 2 2 9 3" xfId="4644" xr:uid="{00000000-0005-0000-0000-00003F1E0000}"/>
    <cellStyle name="Финансовый 2 2 9 4" xfId="4645" xr:uid="{00000000-0005-0000-0000-0000401E0000}"/>
    <cellStyle name="Финансовый 2 2 9 5" xfId="4646" xr:uid="{00000000-0005-0000-0000-0000411E0000}"/>
    <cellStyle name="Финансовый 2 2 9 6" xfId="4647" xr:uid="{00000000-0005-0000-0000-0000421E0000}"/>
    <cellStyle name="Финансовый 2 2 9 7" xfId="4648" xr:uid="{00000000-0005-0000-0000-0000431E0000}"/>
    <cellStyle name="Финансовый 2 2 9 8" xfId="4649" xr:uid="{00000000-0005-0000-0000-0000441E0000}"/>
    <cellStyle name="Финансовый 2 20" xfId="4650" xr:uid="{00000000-0005-0000-0000-0000451E0000}"/>
    <cellStyle name="Финансовый 2 21" xfId="4651" xr:uid="{00000000-0005-0000-0000-0000461E0000}"/>
    <cellStyle name="Финансовый 2 3" xfId="4652" xr:uid="{00000000-0005-0000-0000-0000471E0000}"/>
    <cellStyle name="Финансовый 2 4" xfId="4653" xr:uid="{00000000-0005-0000-0000-0000481E0000}"/>
    <cellStyle name="Финансовый 2 5" xfId="4654" xr:uid="{00000000-0005-0000-0000-0000491E0000}"/>
    <cellStyle name="Финансовый 2 6" xfId="4655" xr:uid="{00000000-0005-0000-0000-00004A1E0000}"/>
    <cellStyle name="Финансовый 2 7" xfId="4656" xr:uid="{00000000-0005-0000-0000-00004B1E0000}"/>
    <cellStyle name="Финансовый 2 8" xfId="4657" xr:uid="{00000000-0005-0000-0000-00004C1E0000}"/>
    <cellStyle name="Финансовый 2 9" xfId="4658" xr:uid="{00000000-0005-0000-0000-00004D1E0000}"/>
    <cellStyle name="Финансовый 20" xfId="4659" xr:uid="{00000000-0005-0000-0000-00004E1E0000}"/>
    <cellStyle name="Финансовый 20 2" xfId="4660" xr:uid="{00000000-0005-0000-0000-00004F1E0000}"/>
    <cellStyle name="Финансовый 20 2 2" xfId="4661" xr:uid="{00000000-0005-0000-0000-0000501E0000}"/>
    <cellStyle name="Финансовый 20 2 3" xfId="4662" xr:uid="{00000000-0005-0000-0000-0000511E0000}"/>
    <cellStyle name="Финансовый 20 2 4" xfId="4663" xr:uid="{00000000-0005-0000-0000-0000521E0000}"/>
    <cellStyle name="Финансовый 20 2 5" xfId="4664" xr:uid="{00000000-0005-0000-0000-0000531E0000}"/>
    <cellStyle name="Финансовый 20 2 6" xfId="4665" xr:uid="{00000000-0005-0000-0000-0000541E0000}"/>
    <cellStyle name="Финансовый 20 2 7" xfId="4666" xr:uid="{00000000-0005-0000-0000-0000551E0000}"/>
    <cellStyle name="Финансовый 20 3" xfId="4667" xr:uid="{00000000-0005-0000-0000-0000561E0000}"/>
    <cellStyle name="Финансовый 20 4" xfId="4668" xr:uid="{00000000-0005-0000-0000-0000571E0000}"/>
    <cellStyle name="Финансовый 20 5" xfId="4669" xr:uid="{00000000-0005-0000-0000-0000581E0000}"/>
    <cellStyle name="Финансовый 20 6" xfId="4670" xr:uid="{00000000-0005-0000-0000-0000591E0000}"/>
    <cellStyle name="Финансовый 20 7" xfId="4671" xr:uid="{00000000-0005-0000-0000-00005A1E0000}"/>
    <cellStyle name="Финансовый 20 8" xfId="4672" xr:uid="{00000000-0005-0000-0000-00005B1E0000}"/>
    <cellStyle name="Финансовый 21" xfId="4673" xr:uid="{00000000-0005-0000-0000-00005C1E0000}"/>
    <cellStyle name="Финансовый 21 2" xfId="4674" xr:uid="{00000000-0005-0000-0000-00005D1E0000}"/>
    <cellStyle name="Финансовый 21 3" xfId="4675" xr:uid="{00000000-0005-0000-0000-00005E1E0000}"/>
    <cellStyle name="Финансовый 21 4" xfId="4676" xr:uid="{00000000-0005-0000-0000-00005F1E0000}"/>
    <cellStyle name="Финансовый 21 5" xfId="4677" xr:uid="{00000000-0005-0000-0000-0000601E0000}"/>
    <cellStyle name="Финансовый 21 6" xfId="4678" xr:uid="{00000000-0005-0000-0000-0000611E0000}"/>
    <cellStyle name="Финансовый 22" xfId="4679" xr:uid="{00000000-0005-0000-0000-0000621E0000}"/>
    <cellStyle name="Финансовый 23" xfId="4680" xr:uid="{00000000-0005-0000-0000-0000631E0000}"/>
    <cellStyle name="Финансовый 23 2" xfId="4681" xr:uid="{00000000-0005-0000-0000-0000641E0000}"/>
    <cellStyle name="Финансовый 23 2 2" xfId="4682" xr:uid="{00000000-0005-0000-0000-0000651E0000}"/>
    <cellStyle name="Финансовый 23 2 3" xfId="4683" xr:uid="{00000000-0005-0000-0000-0000661E0000}"/>
    <cellStyle name="Финансовый 23 2 4" xfId="4684" xr:uid="{00000000-0005-0000-0000-0000671E0000}"/>
    <cellStyle name="Финансовый 23 2 5" xfId="4685" xr:uid="{00000000-0005-0000-0000-0000681E0000}"/>
    <cellStyle name="Финансовый 23 2 6" xfId="4686" xr:uid="{00000000-0005-0000-0000-0000691E0000}"/>
    <cellStyle name="Финансовый 23 2 7" xfId="4687" xr:uid="{00000000-0005-0000-0000-00006A1E0000}"/>
    <cellStyle name="Финансовый 23 3" xfId="4688" xr:uid="{00000000-0005-0000-0000-00006B1E0000}"/>
    <cellStyle name="Финансовый 23 4" xfId="4689" xr:uid="{00000000-0005-0000-0000-00006C1E0000}"/>
    <cellStyle name="Финансовый 23 5" xfId="4690" xr:uid="{00000000-0005-0000-0000-00006D1E0000}"/>
    <cellStyle name="Финансовый 23 6" xfId="4691" xr:uid="{00000000-0005-0000-0000-00006E1E0000}"/>
    <cellStyle name="Финансовый 23 7" xfId="4692" xr:uid="{00000000-0005-0000-0000-00006F1E0000}"/>
    <cellStyle name="Финансовый 23 8" xfId="4693" xr:uid="{00000000-0005-0000-0000-0000701E0000}"/>
    <cellStyle name="Финансовый 24" xfId="4694" xr:uid="{00000000-0005-0000-0000-0000711E0000}"/>
    <cellStyle name="Финансовый 25" xfId="4695" xr:uid="{00000000-0005-0000-0000-0000721E0000}"/>
    <cellStyle name="Финансовый 26" xfId="4696" xr:uid="{00000000-0005-0000-0000-0000731E0000}"/>
    <cellStyle name="Финансовый 26 2" xfId="4697" xr:uid="{00000000-0005-0000-0000-0000741E0000}"/>
    <cellStyle name="Финансовый 26 2 2" xfId="4698" xr:uid="{00000000-0005-0000-0000-0000751E0000}"/>
    <cellStyle name="Финансовый 26 2 3" xfId="4699" xr:uid="{00000000-0005-0000-0000-0000761E0000}"/>
    <cellStyle name="Финансовый 26 2 4" xfId="4700" xr:uid="{00000000-0005-0000-0000-0000771E0000}"/>
    <cellStyle name="Финансовый 26 2 5" xfId="4701" xr:uid="{00000000-0005-0000-0000-0000781E0000}"/>
    <cellStyle name="Финансовый 26 2 6" xfId="4702" xr:uid="{00000000-0005-0000-0000-0000791E0000}"/>
    <cellStyle name="Финансовый 26 2 7" xfId="4703" xr:uid="{00000000-0005-0000-0000-00007A1E0000}"/>
    <cellStyle name="Финансовый 26 3" xfId="4704" xr:uid="{00000000-0005-0000-0000-00007B1E0000}"/>
    <cellStyle name="Финансовый 26 4" xfId="4705" xr:uid="{00000000-0005-0000-0000-00007C1E0000}"/>
    <cellStyle name="Финансовый 26 5" xfId="4706" xr:uid="{00000000-0005-0000-0000-00007D1E0000}"/>
    <cellStyle name="Финансовый 26 6" xfId="4707" xr:uid="{00000000-0005-0000-0000-00007E1E0000}"/>
    <cellStyle name="Финансовый 26 7" xfId="4708" xr:uid="{00000000-0005-0000-0000-00007F1E0000}"/>
    <cellStyle name="Финансовый 26 8" xfId="4709" xr:uid="{00000000-0005-0000-0000-0000801E0000}"/>
    <cellStyle name="Финансовый 27" xfId="4710" xr:uid="{00000000-0005-0000-0000-0000811E0000}"/>
    <cellStyle name="Финансовый 27 2" xfId="4711" xr:uid="{00000000-0005-0000-0000-0000821E0000}"/>
    <cellStyle name="Финансовый 27 2 2" xfId="4712" xr:uid="{00000000-0005-0000-0000-0000831E0000}"/>
    <cellStyle name="Финансовый 27 2 3" xfId="4713" xr:uid="{00000000-0005-0000-0000-0000841E0000}"/>
    <cellStyle name="Финансовый 27 2 4" xfId="4714" xr:uid="{00000000-0005-0000-0000-0000851E0000}"/>
    <cellStyle name="Финансовый 27 2 5" xfId="4715" xr:uid="{00000000-0005-0000-0000-0000861E0000}"/>
    <cellStyle name="Финансовый 27 2 6" xfId="4716" xr:uid="{00000000-0005-0000-0000-0000871E0000}"/>
    <cellStyle name="Финансовый 27 2 7" xfId="4717" xr:uid="{00000000-0005-0000-0000-0000881E0000}"/>
    <cellStyle name="Финансовый 27 3" xfId="4718" xr:uid="{00000000-0005-0000-0000-0000891E0000}"/>
    <cellStyle name="Финансовый 27 4" xfId="4719" xr:uid="{00000000-0005-0000-0000-00008A1E0000}"/>
    <cellStyle name="Финансовый 27 5" xfId="4720" xr:uid="{00000000-0005-0000-0000-00008B1E0000}"/>
    <cellStyle name="Финансовый 27 6" xfId="4721" xr:uid="{00000000-0005-0000-0000-00008C1E0000}"/>
    <cellStyle name="Финансовый 27 7" xfId="4722" xr:uid="{00000000-0005-0000-0000-00008D1E0000}"/>
    <cellStyle name="Финансовый 27 8" xfId="4723" xr:uid="{00000000-0005-0000-0000-00008E1E0000}"/>
    <cellStyle name="Финансовый 28" xfId="4724" xr:uid="{00000000-0005-0000-0000-00008F1E0000}"/>
    <cellStyle name="Финансовый 28 2" xfId="4725" xr:uid="{00000000-0005-0000-0000-0000901E0000}"/>
    <cellStyle name="Финансовый 28 3" xfId="4726" xr:uid="{00000000-0005-0000-0000-0000911E0000}"/>
    <cellStyle name="Финансовый 28 4" xfId="4727" xr:uid="{00000000-0005-0000-0000-0000921E0000}"/>
    <cellStyle name="Финансовый 28 5" xfId="4728" xr:uid="{00000000-0005-0000-0000-0000931E0000}"/>
    <cellStyle name="Финансовый 28 6" xfId="4729" xr:uid="{00000000-0005-0000-0000-0000941E0000}"/>
    <cellStyle name="Финансовый 28 7" xfId="4730" xr:uid="{00000000-0005-0000-0000-0000951E0000}"/>
    <cellStyle name="Финансовый 29" xfId="4731" xr:uid="{00000000-0005-0000-0000-0000961E0000}"/>
    <cellStyle name="Финансовый 3" xfId="4732" xr:uid="{00000000-0005-0000-0000-0000971E0000}"/>
    <cellStyle name="Финансовый 3 10" xfId="4733" xr:uid="{00000000-0005-0000-0000-0000981E0000}"/>
    <cellStyle name="Финансовый 3 11" xfId="4734" xr:uid="{00000000-0005-0000-0000-0000991E0000}"/>
    <cellStyle name="Финансовый 3 2" xfId="4735" xr:uid="{00000000-0005-0000-0000-00009A1E0000}"/>
    <cellStyle name="Финансовый 3 3" xfId="4736" xr:uid="{00000000-0005-0000-0000-00009B1E0000}"/>
    <cellStyle name="Финансовый 3 4" xfId="4737" xr:uid="{00000000-0005-0000-0000-00009C1E0000}"/>
    <cellStyle name="Финансовый 3 5" xfId="4738" xr:uid="{00000000-0005-0000-0000-00009D1E0000}"/>
    <cellStyle name="Финансовый 3 6" xfId="4739" xr:uid="{00000000-0005-0000-0000-00009E1E0000}"/>
    <cellStyle name="Финансовый 3 7" xfId="4740" xr:uid="{00000000-0005-0000-0000-00009F1E0000}"/>
    <cellStyle name="Финансовый 3 8" xfId="4741" xr:uid="{00000000-0005-0000-0000-0000A01E0000}"/>
    <cellStyle name="Финансовый 3 9" xfId="4742" xr:uid="{00000000-0005-0000-0000-0000A11E0000}"/>
    <cellStyle name="Финансовый 30" xfId="4743" xr:uid="{00000000-0005-0000-0000-0000A21E0000}"/>
    <cellStyle name="Финансовый 31" xfId="4744" xr:uid="{00000000-0005-0000-0000-0000A31E0000}"/>
    <cellStyle name="Финансовый 32" xfId="4745" xr:uid="{00000000-0005-0000-0000-0000A41E0000}"/>
    <cellStyle name="Финансовый 33" xfId="4746" xr:uid="{00000000-0005-0000-0000-0000A51E0000}"/>
    <cellStyle name="Финансовый 4" xfId="4747" xr:uid="{00000000-0005-0000-0000-0000A61E0000}"/>
    <cellStyle name="Финансовый 4 10" xfId="4748" xr:uid="{00000000-0005-0000-0000-0000A71E0000}"/>
    <cellStyle name="Финансовый 4 11" xfId="4749" xr:uid="{00000000-0005-0000-0000-0000A81E0000}"/>
    <cellStyle name="Финансовый 4 2" xfId="4750" xr:uid="{00000000-0005-0000-0000-0000A91E0000}"/>
    <cellStyle name="Финансовый 4 2 10" xfId="4751" xr:uid="{00000000-0005-0000-0000-0000AA1E0000}"/>
    <cellStyle name="Финансовый 4 2 11" xfId="4752" xr:uid="{00000000-0005-0000-0000-0000AB1E0000}"/>
    <cellStyle name="Финансовый 4 2 12" xfId="4753" xr:uid="{00000000-0005-0000-0000-0000AC1E0000}"/>
    <cellStyle name="Финансовый 4 2 13" xfId="4754" xr:uid="{00000000-0005-0000-0000-0000AD1E0000}"/>
    <cellStyle name="Финансовый 4 2 14" xfId="4755" xr:uid="{00000000-0005-0000-0000-0000AE1E0000}"/>
    <cellStyle name="Финансовый 4 2 15" xfId="4756" xr:uid="{00000000-0005-0000-0000-0000AF1E0000}"/>
    <cellStyle name="Финансовый 4 2 2" xfId="4757" xr:uid="{00000000-0005-0000-0000-0000B01E0000}"/>
    <cellStyle name="Финансовый 4 2 2 10" xfId="4758" xr:uid="{00000000-0005-0000-0000-0000B11E0000}"/>
    <cellStyle name="Финансовый 4 2 2 11" xfId="4759" xr:uid="{00000000-0005-0000-0000-0000B21E0000}"/>
    <cellStyle name="Финансовый 4 2 2 12" xfId="4760" xr:uid="{00000000-0005-0000-0000-0000B31E0000}"/>
    <cellStyle name="Финансовый 4 2 2 13" xfId="4761" xr:uid="{00000000-0005-0000-0000-0000B41E0000}"/>
    <cellStyle name="Финансовый 4 2 2 14" xfId="4762" xr:uid="{00000000-0005-0000-0000-0000B51E0000}"/>
    <cellStyle name="Финансовый 4 2 2 2" xfId="4763" xr:uid="{00000000-0005-0000-0000-0000B61E0000}"/>
    <cellStyle name="Финансовый 4 2 2 2 2" xfId="4764" xr:uid="{00000000-0005-0000-0000-0000B71E0000}"/>
    <cellStyle name="Финансовый 4 2 2 2 2 2" xfId="4765" xr:uid="{00000000-0005-0000-0000-0000B81E0000}"/>
    <cellStyle name="Финансовый 4 2 2 2 2 3" xfId="4766" xr:uid="{00000000-0005-0000-0000-0000B91E0000}"/>
    <cellStyle name="Финансовый 4 2 2 2 2 4" xfId="4767" xr:uid="{00000000-0005-0000-0000-0000BA1E0000}"/>
    <cellStyle name="Финансовый 4 2 2 2 2 5" xfId="4768" xr:uid="{00000000-0005-0000-0000-0000BB1E0000}"/>
    <cellStyle name="Финансовый 4 2 2 2 2 6" xfId="4769" xr:uid="{00000000-0005-0000-0000-0000BC1E0000}"/>
    <cellStyle name="Финансовый 4 2 2 2 2 7" xfId="4770" xr:uid="{00000000-0005-0000-0000-0000BD1E0000}"/>
    <cellStyle name="Финансовый 4 2 2 2 3" xfId="4771" xr:uid="{00000000-0005-0000-0000-0000BE1E0000}"/>
    <cellStyle name="Финансовый 4 2 2 2 4" xfId="4772" xr:uid="{00000000-0005-0000-0000-0000BF1E0000}"/>
    <cellStyle name="Финансовый 4 2 2 2 5" xfId="4773" xr:uid="{00000000-0005-0000-0000-0000C01E0000}"/>
    <cellStyle name="Финансовый 4 2 2 2 6" xfId="4774" xr:uid="{00000000-0005-0000-0000-0000C11E0000}"/>
    <cellStyle name="Финансовый 4 2 2 2 7" xfId="4775" xr:uid="{00000000-0005-0000-0000-0000C21E0000}"/>
    <cellStyle name="Финансовый 4 2 2 2 8" xfId="4776" xr:uid="{00000000-0005-0000-0000-0000C31E0000}"/>
    <cellStyle name="Финансовый 4 2 2 3" xfId="4777" xr:uid="{00000000-0005-0000-0000-0000C41E0000}"/>
    <cellStyle name="Финансовый 4 2 2 3 2" xfId="4778" xr:uid="{00000000-0005-0000-0000-0000C51E0000}"/>
    <cellStyle name="Финансовый 4 2 2 3 2 2" xfId="4779" xr:uid="{00000000-0005-0000-0000-0000C61E0000}"/>
    <cellStyle name="Финансовый 4 2 2 3 2 3" xfId="4780" xr:uid="{00000000-0005-0000-0000-0000C71E0000}"/>
    <cellStyle name="Финансовый 4 2 2 3 2 4" xfId="4781" xr:uid="{00000000-0005-0000-0000-0000C81E0000}"/>
    <cellStyle name="Финансовый 4 2 2 3 2 5" xfId="4782" xr:uid="{00000000-0005-0000-0000-0000C91E0000}"/>
    <cellStyle name="Финансовый 4 2 2 3 2 6" xfId="4783" xr:uid="{00000000-0005-0000-0000-0000CA1E0000}"/>
    <cellStyle name="Финансовый 4 2 2 3 2 7" xfId="4784" xr:uid="{00000000-0005-0000-0000-0000CB1E0000}"/>
    <cellStyle name="Финансовый 4 2 2 3 3" xfId="4785" xr:uid="{00000000-0005-0000-0000-0000CC1E0000}"/>
    <cellStyle name="Финансовый 4 2 2 3 4" xfId="4786" xr:uid="{00000000-0005-0000-0000-0000CD1E0000}"/>
    <cellStyle name="Финансовый 4 2 2 3 5" xfId="4787" xr:uid="{00000000-0005-0000-0000-0000CE1E0000}"/>
    <cellStyle name="Финансовый 4 2 2 3 6" xfId="4788" xr:uid="{00000000-0005-0000-0000-0000CF1E0000}"/>
    <cellStyle name="Финансовый 4 2 2 3 7" xfId="4789" xr:uid="{00000000-0005-0000-0000-0000D01E0000}"/>
    <cellStyle name="Финансовый 4 2 2 3 8" xfId="4790" xr:uid="{00000000-0005-0000-0000-0000D11E0000}"/>
    <cellStyle name="Финансовый 4 2 2 4" xfId="4791" xr:uid="{00000000-0005-0000-0000-0000D21E0000}"/>
    <cellStyle name="Финансовый 4 2 2 4 2" xfId="4792" xr:uid="{00000000-0005-0000-0000-0000D31E0000}"/>
    <cellStyle name="Финансовый 4 2 2 4 2 2" xfId="4793" xr:uid="{00000000-0005-0000-0000-0000D41E0000}"/>
    <cellStyle name="Финансовый 4 2 2 4 2 3" xfId="4794" xr:uid="{00000000-0005-0000-0000-0000D51E0000}"/>
    <cellStyle name="Финансовый 4 2 2 4 2 4" xfId="4795" xr:uid="{00000000-0005-0000-0000-0000D61E0000}"/>
    <cellStyle name="Финансовый 4 2 2 4 2 5" xfId="4796" xr:uid="{00000000-0005-0000-0000-0000D71E0000}"/>
    <cellStyle name="Финансовый 4 2 2 4 2 6" xfId="4797" xr:uid="{00000000-0005-0000-0000-0000D81E0000}"/>
    <cellStyle name="Финансовый 4 2 2 4 2 7" xfId="4798" xr:uid="{00000000-0005-0000-0000-0000D91E0000}"/>
    <cellStyle name="Финансовый 4 2 2 4 3" xfId="4799" xr:uid="{00000000-0005-0000-0000-0000DA1E0000}"/>
    <cellStyle name="Финансовый 4 2 2 4 4" xfId="4800" xr:uid="{00000000-0005-0000-0000-0000DB1E0000}"/>
    <cellStyle name="Финансовый 4 2 2 4 5" xfId="4801" xr:uid="{00000000-0005-0000-0000-0000DC1E0000}"/>
    <cellStyle name="Финансовый 4 2 2 4 6" xfId="4802" xr:uid="{00000000-0005-0000-0000-0000DD1E0000}"/>
    <cellStyle name="Финансовый 4 2 2 4 7" xfId="4803" xr:uid="{00000000-0005-0000-0000-0000DE1E0000}"/>
    <cellStyle name="Финансовый 4 2 2 4 8" xfId="4804" xr:uid="{00000000-0005-0000-0000-0000DF1E0000}"/>
    <cellStyle name="Финансовый 4 2 2 5" xfId="4805" xr:uid="{00000000-0005-0000-0000-0000E01E0000}"/>
    <cellStyle name="Финансовый 4 2 2 5 2" xfId="4806" xr:uid="{00000000-0005-0000-0000-0000E11E0000}"/>
    <cellStyle name="Финансовый 4 2 2 5 2 2" xfId="4807" xr:uid="{00000000-0005-0000-0000-0000E21E0000}"/>
    <cellStyle name="Финансовый 4 2 2 5 2 3" xfId="4808" xr:uid="{00000000-0005-0000-0000-0000E31E0000}"/>
    <cellStyle name="Финансовый 4 2 2 5 2 4" xfId="4809" xr:uid="{00000000-0005-0000-0000-0000E41E0000}"/>
    <cellStyle name="Финансовый 4 2 2 5 2 5" xfId="4810" xr:uid="{00000000-0005-0000-0000-0000E51E0000}"/>
    <cellStyle name="Финансовый 4 2 2 5 2 6" xfId="4811" xr:uid="{00000000-0005-0000-0000-0000E61E0000}"/>
    <cellStyle name="Финансовый 4 2 2 5 2 7" xfId="4812" xr:uid="{00000000-0005-0000-0000-0000E71E0000}"/>
    <cellStyle name="Финансовый 4 2 2 5 3" xfId="4813" xr:uid="{00000000-0005-0000-0000-0000E81E0000}"/>
    <cellStyle name="Финансовый 4 2 2 5 4" xfId="4814" xr:uid="{00000000-0005-0000-0000-0000E91E0000}"/>
    <cellStyle name="Финансовый 4 2 2 5 5" xfId="4815" xr:uid="{00000000-0005-0000-0000-0000EA1E0000}"/>
    <cellStyle name="Финансовый 4 2 2 5 6" xfId="4816" xr:uid="{00000000-0005-0000-0000-0000EB1E0000}"/>
    <cellStyle name="Финансовый 4 2 2 5 7" xfId="4817" xr:uid="{00000000-0005-0000-0000-0000EC1E0000}"/>
    <cellStyle name="Финансовый 4 2 2 5 8" xfId="4818" xr:uid="{00000000-0005-0000-0000-0000ED1E0000}"/>
    <cellStyle name="Финансовый 4 2 2 6" xfId="4819" xr:uid="{00000000-0005-0000-0000-0000EE1E0000}"/>
    <cellStyle name="Финансовый 4 2 2 6 2" xfId="4820" xr:uid="{00000000-0005-0000-0000-0000EF1E0000}"/>
    <cellStyle name="Финансовый 4 2 2 6 2 2" xfId="4821" xr:uid="{00000000-0005-0000-0000-0000F01E0000}"/>
    <cellStyle name="Финансовый 4 2 2 6 2 3" xfId="4822" xr:uid="{00000000-0005-0000-0000-0000F11E0000}"/>
    <cellStyle name="Финансовый 4 2 2 6 2 4" xfId="4823" xr:uid="{00000000-0005-0000-0000-0000F21E0000}"/>
    <cellStyle name="Финансовый 4 2 2 6 2 5" xfId="4824" xr:uid="{00000000-0005-0000-0000-0000F31E0000}"/>
    <cellStyle name="Финансовый 4 2 2 6 2 6" xfId="4825" xr:uid="{00000000-0005-0000-0000-0000F41E0000}"/>
    <cellStyle name="Финансовый 4 2 2 6 2 7" xfId="4826" xr:uid="{00000000-0005-0000-0000-0000F51E0000}"/>
    <cellStyle name="Финансовый 4 2 2 6 3" xfId="4827" xr:uid="{00000000-0005-0000-0000-0000F61E0000}"/>
    <cellStyle name="Финансовый 4 2 2 6 4" xfId="4828" xr:uid="{00000000-0005-0000-0000-0000F71E0000}"/>
    <cellStyle name="Финансовый 4 2 2 6 5" xfId="4829" xr:uid="{00000000-0005-0000-0000-0000F81E0000}"/>
    <cellStyle name="Финансовый 4 2 2 6 6" xfId="4830" xr:uid="{00000000-0005-0000-0000-0000F91E0000}"/>
    <cellStyle name="Финансовый 4 2 2 6 7" xfId="4831" xr:uid="{00000000-0005-0000-0000-0000FA1E0000}"/>
    <cellStyle name="Финансовый 4 2 2 6 8" xfId="4832" xr:uid="{00000000-0005-0000-0000-0000FB1E0000}"/>
    <cellStyle name="Финансовый 4 2 2 7" xfId="4833" xr:uid="{00000000-0005-0000-0000-0000FC1E0000}"/>
    <cellStyle name="Финансовый 4 2 2 7 2" xfId="4834" xr:uid="{00000000-0005-0000-0000-0000FD1E0000}"/>
    <cellStyle name="Финансовый 4 2 2 7 2 2" xfId="4835" xr:uid="{00000000-0005-0000-0000-0000FE1E0000}"/>
    <cellStyle name="Финансовый 4 2 2 7 2 3" xfId="4836" xr:uid="{00000000-0005-0000-0000-0000FF1E0000}"/>
    <cellStyle name="Финансовый 4 2 2 7 2 4" xfId="4837" xr:uid="{00000000-0005-0000-0000-0000001F0000}"/>
    <cellStyle name="Финансовый 4 2 2 7 2 5" xfId="4838" xr:uid="{00000000-0005-0000-0000-0000011F0000}"/>
    <cellStyle name="Финансовый 4 2 2 7 2 6" xfId="4839" xr:uid="{00000000-0005-0000-0000-0000021F0000}"/>
    <cellStyle name="Финансовый 4 2 2 7 2 7" xfId="4840" xr:uid="{00000000-0005-0000-0000-0000031F0000}"/>
    <cellStyle name="Финансовый 4 2 2 7 3" xfId="4841" xr:uid="{00000000-0005-0000-0000-0000041F0000}"/>
    <cellStyle name="Финансовый 4 2 2 7 4" xfId="4842" xr:uid="{00000000-0005-0000-0000-0000051F0000}"/>
    <cellStyle name="Финансовый 4 2 2 7 5" xfId="4843" xr:uid="{00000000-0005-0000-0000-0000061F0000}"/>
    <cellStyle name="Финансовый 4 2 2 7 6" xfId="4844" xr:uid="{00000000-0005-0000-0000-0000071F0000}"/>
    <cellStyle name="Финансовый 4 2 2 7 7" xfId="4845" xr:uid="{00000000-0005-0000-0000-0000081F0000}"/>
    <cellStyle name="Финансовый 4 2 2 7 8" xfId="4846" xr:uid="{00000000-0005-0000-0000-0000091F0000}"/>
    <cellStyle name="Финансовый 4 2 2 8" xfId="4847" xr:uid="{00000000-0005-0000-0000-00000A1F0000}"/>
    <cellStyle name="Финансовый 4 2 2 8 2" xfId="4848" xr:uid="{00000000-0005-0000-0000-00000B1F0000}"/>
    <cellStyle name="Финансовый 4 2 2 8 3" xfId="4849" xr:uid="{00000000-0005-0000-0000-00000C1F0000}"/>
    <cellStyle name="Финансовый 4 2 2 8 4" xfId="4850" xr:uid="{00000000-0005-0000-0000-00000D1F0000}"/>
    <cellStyle name="Финансовый 4 2 2 8 5" xfId="4851" xr:uid="{00000000-0005-0000-0000-00000E1F0000}"/>
    <cellStyle name="Финансовый 4 2 2 8 6" xfId="4852" xr:uid="{00000000-0005-0000-0000-00000F1F0000}"/>
    <cellStyle name="Финансовый 4 2 2 8 7" xfId="4853" xr:uid="{00000000-0005-0000-0000-0000101F0000}"/>
    <cellStyle name="Финансовый 4 2 2 9" xfId="4854" xr:uid="{00000000-0005-0000-0000-0000111F0000}"/>
    <cellStyle name="Финансовый 4 2 3" xfId="4855" xr:uid="{00000000-0005-0000-0000-0000121F0000}"/>
    <cellStyle name="Финансовый 4 2 3 2" xfId="4856" xr:uid="{00000000-0005-0000-0000-0000131F0000}"/>
    <cellStyle name="Финансовый 4 2 3 2 2" xfId="4857" xr:uid="{00000000-0005-0000-0000-0000141F0000}"/>
    <cellStyle name="Финансовый 4 2 3 2 3" xfId="4858" xr:uid="{00000000-0005-0000-0000-0000151F0000}"/>
    <cellStyle name="Финансовый 4 2 3 2 4" xfId="4859" xr:uid="{00000000-0005-0000-0000-0000161F0000}"/>
    <cellStyle name="Финансовый 4 2 3 2 5" xfId="4860" xr:uid="{00000000-0005-0000-0000-0000171F0000}"/>
    <cellStyle name="Финансовый 4 2 3 2 6" xfId="4861" xr:uid="{00000000-0005-0000-0000-0000181F0000}"/>
    <cellStyle name="Финансовый 4 2 3 2 7" xfId="4862" xr:uid="{00000000-0005-0000-0000-0000191F0000}"/>
    <cellStyle name="Финансовый 4 2 3 3" xfId="4863" xr:uid="{00000000-0005-0000-0000-00001A1F0000}"/>
    <cellStyle name="Финансовый 4 2 3 4" xfId="4864" xr:uid="{00000000-0005-0000-0000-00001B1F0000}"/>
    <cellStyle name="Финансовый 4 2 3 5" xfId="4865" xr:uid="{00000000-0005-0000-0000-00001C1F0000}"/>
    <cellStyle name="Финансовый 4 2 3 6" xfId="4866" xr:uid="{00000000-0005-0000-0000-00001D1F0000}"/>
    <cellStyle name="Финансовый 4 2 3 7" xfId="4867" xr:uid="{00000000-0005-0000-0000-00001E1F0000}"/>
    <cellStyle name="Финансовый 4 2 3 8" xfId="4868" xr:uid="{00000000-0005-0000-0000-00001F1F0000}"/>
    <cellStyle name="Финансовый 4 2 4" xfId="4869" xr:uid="{00000000-0005-0000-0000-0000201F0000}"/>
    <cellStyle name="Финансовый 4 2 4 2" xfId="4870" xr:uid="{00000000-0005-0000-0000-0000211F0000}"/>
    <cellStyle name="Финансовый 4 2 4 2 2" xfId="4871" xr:uid="{00000000-0005-0000-0000-0000221F0000}"/>
    <cellStyle name="Финансовый 4 2 4 2 3" xfId="4872" xr:uid="{00000000-0005-0000-0000-0000231F0000}"/>
    <cellStyle name="Финансовый 4 2 4 2 4" xfId="4873" xr:uid="{00000000-0005-0000-0000-0000241F0000}"/>
    <cellStyle name="Финансовый 4 2 4 2 5" xfId="4874" xr:uid="{00000000-0005-0000-0000-0000251F0000}"/>
    <cellStyle name="Финансовый 4 2 4 2 6" xfId="4875" xr:uid="{00000000-0005-0000-0000-0000261F0000}"/>
    <cellStyle name="Финансовый 4 2 4 2 7" xfId="4876" xr:uid="{00000000-0005-0000-0000-0000271F0000}"/>
    <cellStyle name="Финансовый 4 2 4 3" xfId="4877" xr:uid="{00000000-0005-0000-0000-0000281F0000}"/>
    <cellStyle name="Финансовый 4 2 4 4" xfId="4878" xr:uid="{00000000-0005-0000-0000-0000291F0000}"/>
    <cellStyle name="Финансовый 4 2 4 5" xfId="4879" xr:uid="{00000000-0005-0000-0000-00002A1F0000}"/>
    <cellStyle name="Финансовый 4 2 4 6" xfId="4880" xr:uid="{00000000-0005-0000-0000-00002B1F0000}"/>
    <cellStyle name="Финансовый 4 2 4 7" xfId="4881" xr:uid="{00000000-0005-0000-0000-00002C1F0000}"/>
    <cellStyle name="Финансовый 4 2 4 8" xfId="4882" xr:uid="{00000000-0005-0000-0000-00002D1F0000}"/>
    <cellStyle name="Финансовый 4 2 5" xfId="4883" xr:uid="{00000000-0005-0000-0000-00002E1F0000}"/>
    <cellStyle name="Финансовый 4 2 5 2" xfId="4884" xr:uid="{00000000-0005-0000-0000-00002F1F0000}"/>
    <cellStyle name="Финансовый 4 2 5 2 2" xfId="4885" xr:uid="{00000000-0005-0000-0000-0000301F0000}"/>
    <cellStyle name="Финансовый 4 2 5 2 3" xfId="4886" xr:uid="{00000000-0005-0000-0000-0000311F0000}"/>
    <cellStyle name="Финансовый 4 2 5 2 4" xfId="4887" xr:uid="{00000000-0005-0000-0000-0000321F0000}"/>
    <cellStyle name="Финансовый 4 2 5 2 5" xfId="4888" xr:uid="{00000000-0005-0000-0000-0000331F0000}"/>
    <cellStyle name="Финансовый 4 2 5 2 6" xfId="4889" xr:uid="{00000000-0005-0000-0000-0000341F0000}"/>
    <cellStyle name="Финансовый 4 2 5 2 7" xfId="4890" xr:uid="{00000000-0005-0000-0000-0000351F0000}"/>
    <cellStyle name="Финансовый 4 2 5 3" xfId="4891" xr:uid="{00000000-0005-0000-0000-0000361F0000}"/>
    <cellStyle name="Финансовый 4 2 5 4" xfId="4892" xr:uid="{00000000-0005-0000-0000-0000371F0000}"/>
    <cellStyle name="Финансовый 4 2 5 5" xfId="4893" xr:uid="{00000000-0005-0000-0000-0000381F0000}"/>
    <cellStyle name="Финансовый 4 2 5 6" xfId="4894" xr:uid="{00000000-0005-0000-0000-0000391F0000}"/>
    <cellStyle name="Финансовый 4 2 5 7" xfId="4895" xr:uid="{00000000-0005-0000-0000-00003A1F0000}"/>
    <cellStyle name="Финансовый 4 2 5 8" xfId="4896" xr:uid="{00000000-0005-0000-0000-00003B1F0000}"/>
    <cellStyle name="Финансовый 4 2 6" xfId="4897" xr:uid="{00000000-0005-0000-0000-00003C1F0000}"/>
    <cellStyle name="Финансовый 4 2 6 2" xfId="4898" xr:uid="{00000000-0005-0000-0000-00003D1F0000}"/>
    <cellStyle name="Финансовый 4 2 6 2 2" xfId="4899" xr:uid="{00000000-0005-0000-0000-00003E1F0000}"/>
    <cellStyle name="Финансовый 4 2 6 2 3" xfId="4900" xr:uid="{00000000-0005-0000-0000-00003F1F0000}"/>
    <cellStyle name="Финансовый 4 2 6 2 4" xfId="4901" xr:uid="{00000000-0005-0000-0000-0000401F0000}"/>
    <cellStyle name="Финансовый 4 2 6 2 5" xfId="4902" xr:uid="{00000000-0005-0000-0000-0000411F0000}"/>
    <cellStyle name="Финансовый 4 2 6 2 6" xfId="4903" xr:uid="{00000000-0005-0000-0000-0000421F0000}"/>
    <cellStyle name="Финансовый 4 2 6 2 7" xfId="4904" xr:uid="{00000000-0005-0000-0000-0000431F0000}"/>
    <cellStyle name="Финансовый 4 2 6 3" xfId="4905" xr:uid="{00000000-0005-0000-0000-0000441F0000}"/>
    <cellStyle name="Финансовый 4 2 6 4" xfId="4906" xr:uid="{00000000-0005-0000-0000-0000451F0000}"/>
    <cellStyle name="Финансовый 4 2 6 5" xfId="4907" xr:uid="{00000000-0005-0000-0000-0000461F0000}"/>
    <cellStyle name="Финансовый 4 2 6 6" xfId="4908" xr:uid="{00000000-0005-0000-0000-0000471F0000}"/>
    <cellStyle name="Финансовый 4 2 6 7" xfId="4909" xr:uid="{00000000-0005-0000-0000-0000481F0000}"/>
    <cellStyle name="Финансовый 4 2 6 8" xfId="4910" xr:uid="{00000000-0005-0000-0000-0000491F0000}"/>
    <cellStyle name="Финансовый 4 2 7" xfId="4911" xr:uid="{00000000-0005-0000-0000-00004A1F0000}"/>
    <cellStyle name="Финансовый 4 2 7 2" xfId="4912" xr:uid="{00000000-0005-0000-0000-00004B1F0000}"/>
    <cellStyle name="Финансовый 4 2 7 2 2" xfId="4913" xr:uid="{00000000-0005-0000-0000-00004C1F0000}"/>
    <cellStyle name="Финансовый 4 2 7 2 3" xfId="4914" xr:uid="{00000000-0005-0000-0000-00004D1F0000}"/>
    <cellStyle name="Финансовый 4 2 7 2 4" xfId="4915" xr:uid="{00000000-0005-0000-0000-00004E1F0000}"/>
    <cellStyle name="Финансовый 4 2 7 2 5" xfId="4916" xr:uid="{00000000-0005-0000-0000-00004F1F0000}"/>
    <cellStyle name="Финансовый 4 2 7 2 6" xfId="4917" xr:uid="{00000000-0005-0000-0000-0000501F0000}"/>
    <cellStyle name="Финансовый 4 2 7 2 7" xfId="4918" xr:uid="{00000000-0005-0000-0000-0000511F0000}"/>
    <cellStyle name="Финансовый 4 2 7 3" xfId="4919" xr:uid="{00000000-0005-0000-0000-0000521F0000}"/>
    <cellStyle name="Финансовый 4 2 7 4" xfId="4920" xr:uid="{00000000-0005-0000-0000-0000531F0000}"/>
    <cellStyle name="Финансовый 4 2 7 5" xfId="4921" xr:uid="{00000000-0005-0000-0000-0000541F0000}"/>
    <cellStyle name="Финансовый 4 2 7 6" xfId="4922" xr:uid="{00000000-0005-0000-0000-0000551F0000}"/>
    <cellStyle name="Финансовый 4 2 7 7" xfId="4923" xr:uid="{00000000-0005-0000-0000-0000561F0000}"/>
    <cellStyle name="Финансовый 4 2 7 8" xfId="4924" xr:uid="{00000000-0005-0000-0000-0000571F0000}"/>
    <cellStyle name="Финансовый 4 2 8" xfId="4925" xr:uid="{00000000-0005-0000-0000-0000581F0000}"/>
    <cellStyle name="Финансовый 4 2 8 2" xfId="4926" xr:uid="{00000000-0005-0000-0000-0000591F0000}"/>
    <cellStyle name="Финансовый 4 2 8 2 2" xfId="4927" xr:uid="{00000000-0005-0000-0000-00005A1F0000}"/>
    <cellStyle name="Финансовый 4 2 8 2 3" xfId="4928" xr:uid="{00000000-0005-0000-0000-00005B1F0000}"/>
    <cellStyle name="Финансовый 4 2 8 2 4" xfId="4929" xr:uid="{00000000-0005-0000-0000-00005C1F0000}"/>
    <cellStyle name="Финансовый 4 2 8 2 5" xfId="4930" xr:uid="{00000000-0005-0000-0000-00005D1F0000}"/>
    <cellStyle name="Финансовый 4 2 8 2 6" xfId="4931" xr:uid="{00000000-0005-0000-0000-00005E1F0000}"/>
    <cellStyle name="Финансовый 4 2 8 2 7" xfId="4932" xr:uid="{00000000-0005-0000-0000-00005F1F0000}"/>
    <cellStyle name="Финансовый 4 2 8 3" xfId="4933" xr:uid="{00000000-0005-0000-0000-0000601F0000}"/>
    <cellStyle name="Финансовый 4 2 8 4" xfId="4934" xr:uid="{00000000-0005-0000-0000-0000611F0000}"/>
    <cellStyle name="Финансовый 4 2 8 5" xfId="4935" xr:uid="{00000000-0005-0000-0000-0000621F0000}"/>
    <cellStyle name="Финансовый 4 2 8 6" xfId="4936" xr:uid="{00000000-0005-0000-0000-0000631F0000}"/>
    <cellStyle name="Финансовый 4 2 8 7" xfId="4937" xr:uid="{00000000-0005-0000-0000-0000641F0000}"/>
    <cellStyle name="Финансовый 4 2 8 8" xfId="4938" xr:uid="{00000000-0005-0000-0000-0000651F0000}"/>
    <cellStyle name="Финансовый 4 2 9" xfId="4939" xr:uid="{00000000-0005-0000-0000-0000661F0000}"/>
    <cellStyle name="Финансовый 4 2 9 2" xfId="4940" xr:uid="{00000000-0005-0000-0000-0000671F0000}"/>
    <cellStyle name="Финансовый 4 2 9 3" xfId="4941" xr:uid="{00000000-0005-0000-0000-0000681F0000}"/>
    <cellStyle name="Финансовый 4 2 9 4" xfId="4942" xr:uid="{00000000-0005-0000-0000-0000691F0000}"/>
    <cellStyle name="Финансовый 4 2 9 5" xfId="4943" xr:uid="{00000000-0005-0000-0000-00006A1F0000}"/>
    <cellStyle name="Финансовый 4 2 9 6" xfId="4944" xr:uid="{00000000-0005-0000-0000-00006B1F0000}"/>
    <cellStyle name="Финансовый 4 2 9 7" xfId="4945" xr:uid="{00000000-0005-0000-0000-00006C1F0000}"/>
    <cellStyle name="Финансовый 4 3" xfId="4946" xr:uid="{00000000-0005-0000-0000-00006D1F0000}"/>
    <cellStyle name="Финансовый 4 4" xfId="4947" xr:uid="{00000000-0005-0000-0000-00006E1F0000}"/>
    <cellStyle name="Финансовый 4 5" xfId="4948" xr:uid="{00000000-0005-0000-0000-00006F1F0000}"/>
    <cellStyle name="Финансовый 4 6" xfId="4949" xr:uid="{00000000-0005-0000-0000-0000701F0000}"/>
    <cellStyle name="Финансовый 4 7" xfId="4950" xr:uid="{00000000-0005-0000-0000-0000711F0000}"/>
    <cellStyle name="Финансовый 4 8" xfId="4951" xr:uid="{00000000-0005-0000-0000-0000721F0000}"/>
    <cellStyle name="Финансовый 4 9" xfId="4952" xr:uid="{00000000-0005-0000-0000-0000731F0000}"/>
    <cellStyle name="Финансовый 5" xfId="4953" xr:uid="{00000000-0005-0000-0000-0000741F0000}"/>
    <cellStyle name="Финансовый 5 10" xfId="4954" xr:uid="{00000000-0005-0000-0000-0000751F0000}"/>
    <cellStyle name="Финансовый 5 11" xfId="4955" xr:uid="{00000000-0005-0000-0000-0000761F0000}"/>
    <cellStyle name="Финансовый 5 2" xfId="4956" xr:uid="{00000000-0005-0000-0000-0000771F0000}"/>
    <cellStyle name="Финансовый 5 2 2" xfId="4957" xr:uid="{00000000-0005-0000-0000-0000781F0000}"/>
    <cellStyle name="Финансовый 5 2 3" xfId="4958" xr:uid="{00000000-0005-0000-0000-0000791F0000}"/>
    <cellStyle name="Финансовый 5 2 4" xfId="4959" xr:uid="{00000000-0005-0000-0000-00007A1F0000}"/>
    <cellStyle name="Финансовый 5 2 5" xfId="4960" xr:uid="{00000000-0005-0000-0000-00007B1F0000}"/>
    <cellStyle name="Финансовый 5 2 6" xfId="4961" xr:uid="{00000000-0005-0000-0000-00007C1F0000}"/>
    <cellStyle name="Финансовый 5 3" xfId="4962" xr:uid="{00000000-0005-0000-0000-00007D1F0000}"/>
    <cellStyle name="Финансовый 5 4" xfId="4963" xr:uid="{00000000-0005-0000-0000-00007E1F0000}"/>
    <cellStyle name="Финансовый 5 5" xfId="4964" xr:uid="{00000000-0005-0000-0000-00007F1F0000}"/>
    <cellStyle name="Финансовый 5 6" xfId="4965" xr:uid="{00000000-0005-0000-0000-0000801F0000}"/>
    <cellStyle name="Финансовый 5 7" xfId="4966" xr:uid="{00000000-0005-0000-0000-0000811F0000}"/>
    <cellStyle name="Финансовый 5 8" xfId="4967" xr:uid="{00000000-0005-0000-0000-0000821F0000}"/>
    <cellStyle name="Финансовый 5 9" xfId="4968" xr:uid="{00000000-0005-0000-0000-0000831F0000}"/>
    <cellStyle name="Финансовый 6" xfId="4969" xr:uid="{00000000-0005-0000-0000-0000841F0000}"/>
    <cellStyle name="Финансовый 6 2" xfId="4970" xr:uid="{00000000-0005-0000-0000-0000851F0000}"/>
    <cellStyle name="Финансовый 6 3" xfId="4971" xr:uid="{00000000-0005-0000-0000-0000861F0000}"/>
    <cellStyle name="Финансовый 6 4" xfId="4972" xr:uid="{00000000-0005-0000-0000-0000871F0000}"/>
    <cellStyle name="Финансовый 6 5" xfId="4973" xr:uid="{00000000-0005-0000-0000-0000881F0000}"/>
    <cellStyle name="Финансовый 6 6" xfId="4974" xr:uid="{00000000-0005-0000-0000-0000891F0000}"/>
    <cellStyle name="Финансовый 6 7" xfId="4975" xr:uid="{00000000-0005-0000-0000-00008A1F0000}"/>
    <cellStyle name="Финансовый 6 8" xfId="4976" xr:uid="{00000000-0005-0000-0000-00008B1F0000}"/>
    <cellStyle name="Финансовый 6 9" xfId="4977" xr:uid="{00000000-0005-0000-0000-00008C1F0000}"/>
    <cellStyle name="Финансовый 7" xfId="4978" xr:uid="{00000000-0005-0000-0000-00008D1F0000}"/>
    <cellStyle name="Финансовый 7 10" xfId="4979" xr:uid="{00000000-0005-0000-0000-00008E1F0000}"/>
    <cellStyle name="Финансовый 7 2" xfId="4980" xr:uid="{00000000-0005-0000-0000-00008F1F0000}"/>
    <cellStyle name="Финансовый 7 2 10" xfId="4981" xr:uid="{00000000-0005-0000-0000-0000901F0000}"/>
    <cellStyle name="Финансовый 7 2 2" xfId="4982" xr:uid="{00000000-0005-0000-0000-0000911F0000}"/>
    <cellStyle name="Финансовый 7 2 3" xfId="4983" xr:uid="{00000000-0005-0000-0000-0000921F0000}"/>
    <cellStyle name="Финансовый 7 2 4" xfId="4984" xr:uid="{00000000-0005-0000-0000-0000931F0000}"/>
    <cellStyle name="Финансовый 7 2 5" xfId="4985" xr:uid="{00000000-0005-0000-0000-0000941F0000}"/>
    <cellStyle name="Финансовый 7 2 6" xfId="4986" xr:uid="{00000000-0005-0000-0000-0000951F0000}"/>
    <cellStyle name="Финансовый 7 2 7" xfId="4987" xr:uid="{00000000-0005-0000-0000-0000961F0000}"/>
    <cellStyle name="Финансовый 7 2 8" xfId="4988" xr:uid="{00000000-0005-0000-0000-0000971F0000}"/>
    <cellStyle name="Финансовый 7 2 9" xfId="4989" xr:uid="{00000000-0005-0000-0000-0000981F0000}"/>
    <cellStyle name="Финансовый 7 3" xfId="4990" xr:uid="{00000000-0005-0000-0000-0000991F0000}"/>
    <cellStyle name="Финансовый 7 4" xfId="4991" xr:uid="{00000000-0005-0000-0000-00009A1F0000}"/>
    <cellStyle name="Финансовый 7 5" xfId="4992" xr:uid="{00000000-0005-0000-0000-00009B1F0000}"/>
    <cellStyle name="Финансовый 7 6" xfId="4993" xr:uid="{00000000-0005-0000-0000-00009C1F0000}"/>
    <cellStyle name="Финансовый 7 7" xfId="4994" xr:uid="{00000000-0005-0000-0000-00009D1F0000}"/>
    <cellStyle name="Финансовый 7 8" xfId="4995" xr:uid="{00000000-0005-0000-0000-00009E1F0000}"/>
    <cellStyle name="Финансовый 7 9" xfId="4996" xr:uid="{00000000-0005-0000-0000-00009F1F0000}"/>
    <cellStyle name="Финансовый 8" xfId="4997" xr:uid="{00000000-0005-0000-0000-0000A01F0000}"/>
    <cellStyle name="Финансовый 8 10" xfId="4998" xr:uid="{00000000-0005-0000-0000-0000A11F0000}"/>
    <cellStyle name="Финансовый 8 11" xfId="4999" xr:uid="{00000000-0005-0000-0000-0000A21F0000}"/>
    <cellStyle name="Финансовый 8 12" xfId="5000" xr:uid="{00000000-0005-0000-0000-0000A31F0000}"/>
    <cellStyle name="Финансовый 8 13" xfId="5001" xr:uid="{00000000-0005-0000-0000-0000A41F0000}"/>
    <cellStyle name="Финансовый 8 14" xfId="5002" xr:uid="{00000000-0005-0000-0000-0000A51F0000}"/>
    <cellStyle name="Финансовый 8 2" xfId="5003" xr:uid="{00000000-0005-0000-0000-0000A61F0000}"/>
    <cellStyle name="Финансовый 8 3" xfId="5004" xr:uid="{00000000-0005-0000-0000-0000A71F0000}"/>
    <cellStyle name="Финансовый 8 4" xfId="5005" xr:uid="{00000000-0005-0000-0000-0000A81F0000}"/>
    <cellStyle name="Финансовый 8 5" xfId="5006" xr:uid="{00000000-0005-0000-0000-0000A91F0000}"/>
    <cellStyle name="Финансовый 8 6" xfId="5007" xr:uid="{00000000-0005-0000-0000-0000AA1F0000}"/>
    <cellStyle name="Финансовый 8 7" xfId="5008" xr:uid="{00000000-0005-0000-0000-0000AB1F0000}"/>
    <cellStyle name="Финансовый 8 8" xfId="5009" xr:uid="{00000000-0005-0000-0000-0000AC1F0000}"/>
    <cellStyle name="Финансовый 8 8 2" xfId="5010" xr:uid="{00000000-0005-0000-0000-0000AD1F0000}"/>
    <cellStyle name="Финансовый 8 8 3" xfId="5011" xr:uid="{00000000-0005-0000-0000-0000AE1F0000}"/>
    <cellStyle name="Финансовый 8 8 4" xfId="5012" xr:uid="{00000000-0005-0000-0000-0000AF1F0000}"/>
    <cellStyle name="Финансовый 8 8 5" xfId="5013" xr:uid="{00000000-0005-0000-0000-0000B01F0000}"/>
    <cellStyle name="Финансовый 8 8 6" xfId="5014" xr:uid="{00000000-0005-0000-0000-0000B11F0000}"/>
    <cellStyle name="Финансовый 8 8 7" xfId="5015" xr:uid="{00000000-0005-0000-0000-0000B21F0000}"/>
    <cellStyle name="Финансовый 8 9" xfId="5016" xr:uid="{00000000-0005-0000-0000-0000B31F0000}"/>
    <cellStyle name="Финансовый 9" xfId="5017" xr:uid="{00000000-0005-0000-0000-0000B41F0000}"/>
    <cellStyle name="Финансовый 9 10" xfId="5018" xr:uid="{00000000-0005-0000-0000-0000B51F0000}"/>
    <cellStyle name="Финансовый 9 11" xfId="5019" xr:uid="{00000000-0005-0000-0000-0000B61F0000}"/>
    <cellStyle name="Финансовый 9 12" xfId="5020" xr:uid="{00000000-0005-0000-0000-0000B71F0000}"/>
    <cellStyle name="Финансовый 9 13" xfId="5021" xr:uid="{00000000-0005-0000-0000-0000B81F0000}"/>
    <cellStyle name="Финансовый 9 2" xfId="5022" xr:uid="{00000000-0005-0000-0000-0000B91F0000}"/>
    <cellStyle name="Финансовый 9 3" xfId="5023" xr:uid="{00000000-0005-0000-0000-0000BA1F0000}"/>
    <cellStyle name="Финансовый 9 4" xfId="5024" xr:uid="{00000000-0005-0000-0000-0000BB1F0000}"/>
    <cellStyle name="Финансовый 9 5" xfId="5025" xr:uid="{00000000-0005-0000-0000-0000BC1F0000}"/>
    <cellStyle name="Финансовый 9 6" xfId="5026" xr:uid="{00000000-0005-0000-0000-0000BD1F0000}"/>
    <cellStyle name="Финансовый 9 7" xfId="5027" xr:uid="{00000000-0005-0000-0000-0000BE1F0000}"/>
    <cellStyle name="Финансовый 9 7 2" xfId="5028" xr:uid="{00000000-0005-0000-0000-0000BF1F0000}"/>
    <cellStyle name="Финансовый 9 7 3" xfId="5029" xr:uid="{00000000-0005-0000-0000-0000C01F0000}"/>
    <cellStyle name="Финансовый 9 7 4" xfId="5030" xr:uid="{00000000-0005-0000-0000-0000C11F0000}"/>
    <cellStyle name="Финансовый 9 7 5" xfId="5031" xr:uid="{00000000-0005-0000-0000-0000C21F0000}"/>
    <cellStyle name="Финансовый 9 7 6" xfId="5032" xr:uid="{00000000-0005-0000-0000-0000C31F0000}"/>
    <cellStyle name="Финансовый 9 7 7" xfId="5033" xr:uid="{00000000-0005-0000-0000-0000C41F0000}"/>
    <cellStyle name="Финансовый 9 8" xfId="5034" xr:uid="{00000000-0005-0000-0000-0000C51F0000}"/>
    <cellStyle name="Финансовый 9 8 2" xfId="5035" xr:uid="{00000000-0005-0000-0000-0000C61F0000}"/>
    <cellStyle name="Финансовый 9 8 3" xfId="5036" xr:uid="{00000000-0005-0000-0000-0000C71F0000}"/>
    <cellStyle name="Финансовый 9 9" xfId="5037" xr:uid="{00000000-0005-0000-0000-0000C81F0000}"/>
    <cellStyle name="Фінансовий 2" xfId="5038" xr:uid="{00000000-0005-0000-0000-0000C91F0000}"/>
    <cellStyle name="Хороший 2" xfId="5039" xr:uid="{00000000-0005-0000-0000-0000CA1F0000}"/>
    <cellStyle name="Хороший 2 2" xfId="5040" xr:uid="{00000000-0005-0000-0000-0000CB1F0000}"/>
    <cellStyle name="Хороший 2 3" xfId="5041" xr:uid="{00000000-0005-0000-0000-0000CC1F0000}"/>
    <cellStyle name="Хороший 2 4" xfId="5042" xr:uid="{00000000-0005-0000-0000-0000CD1F0000}"/>
    <cellStyle name="Хороший 2 5" xfId="5043" xr:uid="{00000000-0005-0000-0000-0000CE1F0000}"/>
    <cellStyle name="Хороший 2 6" xfId="5044" xr:uid="{00000000-0005-0000-0000-0000CF1F0000}"/>
    <cellStyle name="Хороший 2 7" xfId="5045" xr:uid="{00000000-0005-0000-0000-0000D01F0000}"/>
    <cellStyle name="Хороший 2 8" xfId="5046" xr:uid="{00000000-0005-0000-0000-0000D11F0000}"/>
    <cellStyle name="Хороший 2 9" xfId="5047" xr:uid="{00000000-0005-0000-0000-0000D21F0000}"/>
    <cellStyle name="Хороший 3" xfId="5048" xr:uid="{00000000-0005-0000-0000-0000D31F0000}"/>
  </cellStyles>
  <dxfs count="0"/>
  <tableStyles count="0" defaultTableStyle="TableStyleMedium2" defaultPivotStyle="PivotStyleLight16"/>
  <colors>
    <mruColors>
      <color rgb="FFFFFF66"/>
      <color rgb="FF0033CC"/>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63" Type="http://schemas.openxmlformats.org/officeDocument/2006/relationships/externalLink" Target="externalLinks/externalLink55.xml"/><Relationship Id="rId68" Type="http://schemas.openxmlformats.org/officeDocument/2006/relationships/externalLink" Target="externalLinks/externalLink60.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66" Type="http://schemas.openxmlformats.org/officeDocument/2006/relationships/externalLink" Target="externalLinks/externalLink58.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61" Type="http://schemas.openxmlformats.org/officeDocument/2006/relationships/externalLink" Target="externalLinks/externalLink53.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externalLink" Target="externalLinks/externalLink52.xml"/><Relationship Id="rId65" Type="http://schemas.openxmlformats.org/officeDocument/2006/relationships/externalLink" Target="externalLinks/externalLink57.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64" Type="http://schemas.openxmlformats.org/officeDocument/2006/relationships/externalLink" Target="externalLinks/externalLink56.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43.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externalLink" Target="externalLinks/externalLink51.xml"/><Relationship Id="rId67" Type="http://schemas.openxmlformats.org/officeDocument/2006/relationships/externalLink" Target="externalLinks/externalLink59.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externalLink" Target="externalLinks/externalLink54.xml"/><Relationship Id="rId7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NEWLO97.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BUDGET97.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Ukraine%20-%20Budget%20revisions_21Oct05.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d10%20Ph2%20WorkplanBudget%20Review%20_AU_incl%202013_08012014_w.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NFM\NFM_GF_WorkplanBudget%20Review%20_vs%20R10_29042014.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PL%20BudgetTemplateAuto_en%20(version%20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Lifetime%20Management%20Account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Proposals_2014\EC\EC_Costing\HIV_Financial%20Reporting%20Template_16Nov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E:\Users\&#1050;&#1072;&#1090;&#1077;&#1088;&#1080;&#1085;&#1072;\Desktop\all\shared%20files\Documents%20and%20Settings\prontenko\&#1056;&#1072;&#1073;&#1086;&#1095;&#1080;&#1081;%20&#1089;&#1090;&#1086;&#1083;\Requirements\HIV_Financial%20Reporting%20Template_16Nov07.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Closed_UKR.VERSION_COPY_OF_&#1056;&#1040;&#1041;&#1054;&#1063;&#1048;&#1049;&#1055;&#1051;&#1040;&#1053;_20.03_read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E:\!!!Proposals_2014\EC\EC_Costing\EFR-Q19-T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lliance%20Ukraine%20(ICF)%20Quarterly%20Financial%20Reporting%20Template%202008%20v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R10_PerformanceFramework_Ukraine_Fina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Alliance_Project%20Grant%20Application%20Form_08%20Nov%202011.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P3105003_VERSION8_budget.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Planning%20template%20for%20R&amp;R%20may-june%202004.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UKR-011-G08-H-2014-Extension-Summary-Budget-2014-03-14.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Rd10%20Ph2%20WorkplanBudget%20Review%20_AU_13082013_Red.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AU_PUDR_Rd10_Phase1_P2_2012_25Feb13%20(2).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BUL%20RCC%20Attachment%20A%20Indicators%20and%20Targets%20Table.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1060;&#1086;&#1088;&#1084;&#1072;%20&#1092;&#1110;&#1085;&#1072;&#1085;&#1089;&#1086;&#1074;&#1086;&#1111;%20&#1079;&#1074;&#1110;&#1090;&#1085;&#1086;&#1089;&#1090;&#11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E:\Users\&#1050;&#1072;&#1090;&#1077;&#1088;&#1080;&#1085;&#1072;\Desktop\all\shared%20files\TPSM\Psm\R6\Annex%20C%20Ukraine%20Detailed%20Component%20Workplan%20%20Budget-D.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searches%20Rd10%20Ph2UCDC%20BAs%202013-09-13.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E:\Documents%20and%20Settings\agolubkov\My%20Documents\GLOBAL%20FUND%20MAIN\ROUND%207%20Application\Final%20Application\Tomsk%20Application%20Main%20documents%20Part%2003\Budget_Tomsk_Final.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Sample%20completed%20template_16Nov07%20(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E:\UAC\Budget\R10%20Phase%201\PUDR%20Ukraine%20UCDC%20Rd10%20P3%20-%202013-08-15%20v3.xls" TargetMode="External"/></Relationships>
</file>

<file path=xl/externalLinks/_rels/externalLink33.xml.rels><?xml version="1.0" encoding="UTF-8" standalone="yes"?>
<Relationships xmlns="http://schemas.openxmlformats.org/package/2006/relationships"><Relationship Id="rId2" Type="http://schemas.microsoft.com/office/2019/04/relationships/externalLinkLongPath" Target="file:///C:\E:\Users\&#1050;&#1072;&#1090;&#1077;&#1088;&#1080;&#1085;&#1072;\Desktop\all\Shared%20Files\Finance\Management%20Accounts\MA%20reports%20for%20Secretariat\Global%20Fund%20-%20EFR%20-%20R6\Documents%20and%20Settings\prontenko\&#1056;&#1072;&#1073;&#1086;&#1095;&#1080;&#1081;%20&#1089;&#1090;&#1086;&#1083;\Requirements\HIV_Financial%20Reporting%20Template_16Nov07.xls?07F995DA" TargetMode="External"/><Relationship Id="rId1" Type="http://schemas.openxmlformats.org/officeDocument/2006/relationships/externalLinkPath" Target="file:///\\07F995DA\HIV_Financial%20Reporting%20Template_16Nov07.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Malaria_Financial%20Reporting%20Template_Jun10.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TB_Financial%20Reporting%20Template_Jun1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E:\!!!Proposals_2014\EC\EC_Costing\Preliminary%20budget%20Aidstar%20II%20Phase%20II%20step%20II.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E:\Users\&#1050;&#1072;&#1090;&#1077;&#1088;&#1080;&#1085;&#1072;\Desktop\all\Shared%20Files\HUB\Regional%20TA\TA%20assigments\2011\LGBT\Phase%20three\Phase%20three\Preliminary%20budget%20Aidstar%20II%20Phase%20II%20step%20II.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1050;&#1086;&#1087;&#1080;&#1103;%20+ZI%20SUNRISE%20cost%20extension%20budget%20for%20SMT%20pilot%2030_09_08V-final.xls"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Renewals%20Financial%20Template%20EN_Ukraine%202013%20Sep_07_13.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NAL%2016-06_HIV_TB_Modules_2.xlsx"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EFR_R6_BUDGET_21Aug08_FINAL(1).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TL-Total-A.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Master%20Workplan%20%20Budget_15%20May%202007.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Procurement%20workings_21%2010%2005_HP_ful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E:\!!!Proposals_2014\EC\EC_Costing\Khana99november.xls"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Procurement%20workings_04.10_my%20comments.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Expected%20overspend%20in%20Y5+NCE_July%2026_ht.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ConsolidatedWorkplan27Oct06vKB%2027%2010%2005.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E:\!!!Proposals_2014\EC\EC_Costing\BDG_13_04.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E:\!!!Proposals_2014\EC\EC_Costing\LOBUDG96.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Annex%207_Work%20plan%20with%20budget.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R9%20TB%20Phase%202_WPB_revised%20as%20of%202013_06_18_all%20PR&amp;SR.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E:\Users\&#1050;&#1072;&#1090;&#1077;&#1088;&#1080;&#1085;&#1072;\Desktop\all\Shared%20Files\Finance\Management%20Accounts\PROJECTS\ACTIVE%20PROJECTS\Round%206\budget\Phase%20II\budget\Bdg_Year5\2_FINAL\Alliance_Rd6Ph2_Y5_Q17-20_FINAL%20corrected.xls"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In%20country%20master%20budget%20v.2.xls"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Budget_SR_Admin%20cost_R9%20(version%201).xlsx"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Budget%20BL.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E:\Shared%20Files\Field%20Support\Grants%202014%2001-06\096-GF-14%20&#1042;&#1086;&#1083;&#1103;%20(9)++\0%20Att4_Budget_workplan%202014.xlsx"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190%20Workplan&amp;Budget.xls"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1044;&#1086;&#1076;&#1072;&#1090;&#1086;&#1082;%202_Coalicia%2022_09_11.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E:\!!!Proposals_2014\EC\EC_Costing\0%20Att4_Budget_workplan.xls" TargetMode="External"/></Relationships>
</file>

<file path=xl/externalLinks/_rels/externalLink59.xml.rels><?xml version="1.0" encoding="UTF-8" standalone="yes"?>
<Relationships xmlns="http://schemas.openxmlformats.org/package/2006/relationships"><Relationship Id="rId1" Type="http://schemas.microsoft.com/office/2006/relationships/xlExternalLinkPath/xlPathMissing" Target="D6.1%20%20Fin%20report%20&#1057;&#1087;&#1080;&#1089;&#1086;&#1082;%20&#1086;&#1087;&#1077;&#1088;&#1072;&#1094;&#1110;&#1081;%20&#1079;&#1072;%20&#1079;&#1074;&#1110;&#1090;&#1085;&#1080;&#1081;%20&#1087;&#1077;&#1088;&#1110;&#1086;&#1076;.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nd4-Budget-COS_28012010(CCM)_ru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E:\NFM\Total%20ICF%200%20Att4_Budget_workplan%202014.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udget_EurAid_15%2009%202011_Final_sand.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GF%20R6%20Y2%20WP&amp;Budget_13Oct08_APPROVED_by%20teams.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GF%20R6%20Ph2%20budget%2001Apr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Budget"/>
      <sheetName val="QR-1 Summary"/>
      <sheetName val="Documentation"/>
      <sheetName val="Sheet2"/>
      <sheetName val="Other Categories - PM"/>
      <sheetName val="Location"/>
      <sheetName val="Other Categories - Site Level"/>
      <sheetName val="Other Categories - SI"/>
      <sheetName val="Expenditures"/>
      <sheetName val="Summary Financial Report"/>
    </sheetNames>
    <sheetDataSet>
      <sheetData sheetId="0" refreshError="1">
        <row r="13">
          <cell r="D13">
            <v>1996</v>
          </cell>
        </row>
        <row r="19">
          <cell r="D19" t="str">
            <v>Alliance Lanka</v>
          </cell>
        </row>
        <row r="21">
          <cell r="D21" t="str">
            <v>SRI LANKA</v>
          </cell>
        </row>
        <row r="25">
          <cell r="D25" t="str">
            <v>Rs</v>
          </cell>
        </row>
        <row r="27">
          <cell r="D27">
            <v>1</v>
          </cell>
        </row>
        <row r="30">
          <cell r="C30" t="str">
            <v>30 Sept</v>
          </cell>
          <cell r="D30">
            <v>0.75</v>
          </cell>
        </row>
        <row r="36">
          <cell r="B36">
            <v>1</v>
          </cell>
        </row>
        <row r="165">
          <cell r="P165" t="str">
            <v>afr</v>
          </cell>
          <cell r="Q165" t="str">
            <v xml:space="preserve">Annual Financial Report </v>
          </cell>
          <cell r="R165" t="str">
            <v>Rapport Annuel</v>
          </cell>
          <cell r="S165" t="str">
            <v>Informe Financiero Anual</v>
          </cell>
        </row>
        <row r="166">
          <cell r="P166" t="str">
            <v>Alliance</v>
          </cell>
          <cell r="Q166" t="str">
            <v>International HIV/AIDS Alliance</v>
          </cell>
          <cell r="R166" t="str">
            <v>l'Alliance Internationale VIH/SIDA</v>
          </cell>
          <cell r="S166" t="str">
            <v>La Alianza Internacional para VIH/SIDA</v>
          </cell>
        </row>
        <row r="167">
          <cell r="P167" t="str">
            <v>AR2h</v>
          </cell>
          <cell r="Q167" t="str">
            <v>Statement of the Alliance Fund</v>
          </cell>
          <cell r="R167" t="str">
            <v>Détails des Fonds de l'Alliance</v>
          </cell>
          <cell r="S167" t="str">
            <v>Declaración del  Fondo de la Alianza</v>
          </cell>
        </row>
        <row r="168">
          <cell r="P168" t="str">
            <v>AR5Bh</v>
          </cell>
          <cell r="Q168" t="str">
            <v>Status of Financial Support to Beneficiaries</v>
          </cell>
          <cell r="R168" t="str">
            <v>Etats d'appui financier aux bénéficiaires</v>
          </cell>
          <cell r="S168" t="str">
            <v>Estatus de Apuyo Financiero a Beneficiarios</v>
          </cell>
        </row>
        <row r="169">
          <cell r="P169" t="str">
            <v>Countrylo</v>
          </cell>
          <cell r="Q169" t="str">
            <v>Country:</v>
          </cell>
          <cell r="R169" t="str">
            <v>Pays:</v>
          </cell>
          <cell r="S169" t="str">
            <v>País:</v>
          </cell>
        </row>
        <row r="170">
          <cell r="P170" t="str">
            <v>currnote</v>
          </cell>
          <cell r="Q170" t="str">
            <v>All Figures in Local Currency :</v>
          </cell>
          <cell r="R170" t="str">
            <v>Tous les chiffres en monnaie locale:</v>
          </cell>
          <cell r="S170" t="str">
            <v>Todas Cifras en Moneda Local :</v>
          </cell>
        </row>
        <row r="171">
          <cell r="P171" t="str">
            <v>from</v>
          </cell>
          <cell r="Q171" t="str">
            <v xml:space="preserve">Budget Year/Period: From: </v>
          </cell>
          <cell r="R171" t="str">
            <v>Budget Année/Période: du:</v>
          </cell>
          <cell r="S171" t="str">
            <v>Período/Año del Presupuesto:</v>
          </cell>
        </row>
        <row r="172">
          <cell r="P172" t="str">
            <v>local</v>
          </cell>
          <cell r="Q172" t="str">
            <v>Local Currency:</v>
          </cell>
          <cell r="R172" t="str">
            <v>Monnaie Locale:</v>
          </cell>
          <cell r="S172" t="str">
            <v>Moneda Local:</v>
          </cell>
        </row>
        <row r="173">
          <cell r="P173" t="str">
            <v>Namelo</v>
          </cell>
          <cell r="Q173" t="str">
            <v>Name of Linking Organisation :</v>
          </cell>
          <cell r="R173" t="str">
            <v>Nom de l'Organisation de Liaison:</v>
          </cell>
          <cell r="S173" t="str">
            <v>Nombre de la Organización de Enlace:</v>
          </cell>
        </row>
        <row r="174">
          <cell r="P174" t="str">
            <v>QR1h</v>
          </cell>
          <cell r="Q174" t="str">
            <v>Summary</v>
          </cell>
          <cell r="R174" t="str">
            <v>Résumé</v>
          </cell>
          <cell r="S174" t="str">
            <v>Resumen</v>
          </cell>
        </row>
        <row r="175">
          <cell r="P175" t="str">
            <v>QR3h</v>
          </cell>
          <cell r="Q175" t="str">
            <v>Categories A and B</v>
          </cell>
          <cell r="R175" t="str">
            <v>Catégories A et B</v>
          </cell>
          <cell r="S175" t="str">
            <v>Categorías A y B</v>
          </cell>
        </row>
        <row r="176">
          <cell r="P176" t="str">
            <v>QR4h</v>
          </cell>
          <cell r="Q176" t="str">
            <v>Category C</v>
          </cell>
          <cell r="R176" t="str">
            <v>Catégorie C</v>
          </cell>
          <cell r="S176" t="str">
            <v>Categoría C</v>
          </cell>
        </row>
        <row r="177">
          <cell r="P177" t="str">
            <v>QR5h</v>
          </cell>
          <cell r="Q177" t="str">
            <v>Category D - Fin Support to NGOs/CBOs Contracted During Current Year</v>
          </cell>
          <cell r="R177" t="str">
            <v>Catégorie D - Appui Financier aux Projets Contrates pendant l'annee</v>
          </cell>
          <cell r="S177" t="str">
            <v>Categoría D - Apoyo Fin a  ONGs/OBCs Contratados en este Ano</v>
          </cell>
        </row>
        <row r="178">
          <cell r="P178" t="str">
            <v>QR6h</v>
          </cell>
          <cell r="Q178" t="str">
            <v>Situation of Fin Support to NGOs/CBOs Contracted Previous Year</v>
          </cell>
          <cell r="R178" t="str">
            <v>Etats Financier des Projets de l'année Precédente</v>
          </cell>
          <cell r="S178" t="str">
            <v>Estado del Apoyo Financiero a los Proyectos Contratados el Ano Anterior</v>
          </cell>
        </row>
        <row r="179">
          <cell r="P179" t="str">
            <v>QRRh</v>
          </cell>
          <cell r="Q179" t="str">
            <v>Request for Quarter Remittance</v>
          </cell>
          <cell r="R179" t="str">
            <v>Demande de Versement Trimestriel</v>
          </cell>
          <cell r="S179" t="str">
            <v>Solicitud para la Remesa Trimestral</v>
          </cell>
        </row>
        <row r="180">
          <cell r="P180" t="str">
            <v>to</v>
          </cell>
          <cell r="Q180" t="str">
            <v>to:</v>
          </cell>
          <cell r="R180" t="str">
            <v>au:</v>
          </cell>
          <cell r="S180" t="str">
            <v>a:</v>
          </cell>
        </row>
        <row r="181">
          <cell r="P181" t="str">
            <v>yeardef</v>
          </cell>
          <cell r="Q181" t="str">
            <v>Year:</v>
          </cell>
          <cell r="R181" t="str">
            <v>Année:</v>
          </cell>
          <cell r="S181" t="str">
            <v>Año:</v>
          </cell>
        </row>
        <row r="227">
          <cell r="P227" t="str">
            <v>qfr</v>
          </cell>
          <cell r="Q227" t="str">
            <v xml:space="preserve">Quarterly Financial Report </v>
          </cell>
          <cell r="R227" t="str">
            <v>Rapport Trimestriel</v>
          </cell>
          <cell r="S227" t="str">
            <v>Informe Financiero Trimestral</v>
          </cell>
        </row>
        <row r="228">
          <cell r="P228" t="str">
            <v>yearto</v>
          </cell>
          <cell r="Q228" t="str">
            <v>Year to:</v>
          </cell>
          <cell r="R228" t="str">
            <v>Période (Capitulative) au:</v>
          </cell>
          <cell r="S228" t="str">
            <v>Año (Cumulada) Hasta:</v>
          </cell>
        </row>
        <row r="287">
          <cell r="P287" t="str">
            <v>qrr1.1</v>
          </cell>
          <cell r="Q287" t="str">
            <v>Cash Book Balances as at</v>
          </cell>
          <cell r="R287" t="str">
            <v>Chiffres effectifs livre de caisse</v>
          </cell>
          <cell r="S287" t="str">
            <v>Balance del Libro de Caja Hasta</v>
          </cell>
        </row>
        <row r="288">
          <cell r="P288" t="str">
            <v>qrr1.2</v>
          </cell>
          <cell r="Q288" t="str">
            <v>Less Float as Budget</v>
          </cell>
          <cell r="R288" t="str">
            <v>Moins : Fonds du Soudure</v>
          </cell>
          <cell r="S288" t="str">
            <v>Menos el Puente Transferido</v>
          </cell>
        </row>
        <row r="289">
          <cell r="P289" t="str">
            <v>qrr1.3</v>
          </cell>
          <cell r="Q289" t="str">
            <v>Net Cash Book Balances</v>
          </cell>
          <cell r="R289" t="str">
            <v>Net Solde Livre de Caisse</v>
          </cell>
          <cell r="S289" t="str">
            <v>Neto del Balance del Libro de Caja</v>
          </cell>
        </row>
        <row r="290">
          <cell r="P290" t="str">
            <v>qrr2.1</v>
          </cell>
          <cell r="Q290" t="str">
            <v>Account-1</v>
          </cell>
          <cell r="R290" t="str">
            <v>Compte-1</v>
          </cell>
          <cell r="S290" t="str">
            <v>Cuenta - 1</v>
          </cell>
        </row>
        <row r="291">
          <cell r="P291" t="str">
            <v>qrr2.2</v>
          </cell>
          <cell r="Q291" t="str">
            <v>Account-2</v>
          </cell>
          <cell r="R291" t="str">
            <v>Compte-2</v>
          </cell>
          <cell r="S291" t="str">
            <v>Cuenta - 2</v>
          </cell>
        </row>
        <row r="292">
          <cell r="P292" t="str">
            <v>qrr3.1</v>
          </cell>
          <cell r="Q292" t="str">
            <v>Next Quarter Forecast of Disbursements</v>
          </cell>
          <cell r="R292" t="str">
            <v>Dépenses projetées prochaine période</v>
          </cell>
          <cell r="S292" t="str">
            <v>Desembolsos Pronosticados para el Próximo Trimestre</v>
          </cell>
        </row>
        <row r="293">
          <cell r="P293" t="str">
            <v>qrr3.2</v>
          </cell>
          <cell r="Q293" t="str">
            <v>A - Setting-up &amp; Capital Costs</v>
          </cell>
          <cell r="R293" t="str">
            <v>A - Coût d'Etablis &amp; Capital</v>
          </cell>
          <cell r="S293" t="str">
            <v>A - Costos de Inicio y Capital</v>
          </cell>
        </row>
        <row r="294">
          <cell r="P294" t="str">
            <v>qrr3.3</v>
          </cell>
          <cell r="Q294" t="str">
            <v>B- Administration and Project Management</v>
          </cell>
          <cell r="R294" t="str">
            <v>B- Administration &amp; Gestion</v>
          </cell>
          <cell r="S294" t="str">
            <v>B - Administración y Gestión  de Proyectos</v>
          </cell>
        </row>
        <row r="295">
          <cell r="P295" t="str">
            <v>qrr3.4</v>
          </cell>
          <cell r="Q295" t="str">
            <v>C- Technical Assistance</v>
          </cell>
          <cell r="R295" t="str">
            <v>C- Appui Technique</v>
          </cell>
          <cell r="S295" t="str">
            <v>C - Asistencia Técnica</v>
          </cell>
        </row>
        <row r="296">
          <cell r="P296" t="str">
            <v>qrr3.5</v>
          </cell>
          <cell r="Q296" t="str">
            <v>D- Fin Support to NGOs (from Form QR-5 + QR-6)</v>
          </cell>
          <cell r="R296" t="str">
            <v>D- Appui Fin aux ONG (de Formulaires QR-5+QR-6)</v>
          </cell>
          <cell r="S296" t="str">
            <v>D - Apuyo Fin a ONGs (del Formulario QR-5+QR-6)</v>
          </cell>
        </row>
        <row r="297">
          <cell r="P297" t="str">
            <v>qrr3.6</v>
          </cell>
          <cell r="Q297" t="str">
            <v>Sub-Total</v>
          </cell>
          <cell r="R297" t="str">
            <v>Sous total</v>
          </cell>
          <cell r="S297" t="str">
            <v>Sub-Total</v>
          </cell>
        </row>
        <row r="298">
          <cell r="P298" t="str">
            <v>qrr4.1</v>
          </cell>
          <cell r="Q298" t="str">
            <v>Next Quarter Forecast Receipts form Other Sources</v>
          </cell>
          <cell r="R298" t="str">
            <v>Revenus projetés prochaine période d'autre sources</v>
          </cell>
          <cell r="S298" t="str">
            <v>Recibos de Otras Fuentes Pronosticados para el Próximo Trimestre</v>
          </cell>
        </row>
        <row r="299">
          <cell r="P299" t="str">
            <v>qrr4.2</v>
          </cell>
          <cell r="Q299" t="str">
            <v>Reimbursements from NGOs/CBOs</v>
          </cell>
          <cell r="R299" t="str">
            <v>Remboursement des ONG/OBC</v>
          </cell>
          <cell r="S299" t="str">
            <v>Reembolsos de ONGs/OBCs</v>
          </cell>
        </row>
        <row r="300">
          <cell r="P300" t="str">
            <v>qrr4.3</v>
          </cell>
          <cell r="Q300" t="str">
            <v>Interest Income</v>
          </cell>
          <cell r="R300" t="str">
            <v>Intérêts sur dépôts bancaires</v>
          </cell>
          <cell r="S300" t="str">
            <v>Ingreso de Interés</v>
          </cell>
        </row>
        <row r="301">
          <cell r="P301" t="str">
            <v>qrr4.4</v>
          </cell>
          <cell r="Q301" t="str">
            <v>Donations/Funds Raising</v>
          </cell>
          <cell r="R301" t="str">
            <v>Donations/Levée des fonds</v>
          </cell>
          <cell r="S301" t="str">
            <v>Donativos/Recaudación de Fondos</v>
          </cell>
        </row>
        <row r="302">
          <cell r="P302" t="str">
            <v>qrr4.5</v>
          </cell>
          <cell r="Q302" t="str">
            <v>Project Income</v>
          </cell>
          <cell r="R302" t="str">
            <v>D'autre revenus</v>
          </cell>
          <cell r="S302" t="str">
            <v>Ingreso de Proyecto</v>
          </cell>
        </row>
        <row r="303">
          <cell r="P303" t="str">
            <v>qrr5</v>
          </cell>
          <cell r="Q303" t="str">
            <v>Amount Needed</v>
          </cell>
          <cell r="R303" t="str">
            <v>Besoins</v>
          </cell>
          <cell r="S303" t="str">
            <v>Suma Necesaria</v>
          </cell>
        </row>
        <row r="304">
          <cell r="P304" t="str">
            <v>qrr6</v>
          </cell>
          <cell r="Q304" t="str">
            <v>MoU Budget Totals + Float</v>
          </cell>
          <cell r="R304" t="str">
            <v>Totals de Budget + Fonds de Soudure</v>
          </cell>
          <cell r="S304" t="str">
            <v>Totales del Presupuesto + Puente</v>
          </cell>
        </row>
        <row r="305">
          <cell r="P305" t="str">
            <v>qrr7.1</v>
          </cell>
          <cell r="Q305" t="str">
            <v>Already Transferred</v>
          </cell>
          <cell r="R305" t="str">
            <v>Déjà versée de l'Alliance</v>
          </cell>
          <cell r="S305" t="str">
            <v>Ya Transferido</v>
          </cell>
        </row>
        <row r="306">
          <cell r="P306" t="str">
            <v>qrr7.2</v>
          </cell>
          <cell r="Q306" t="str">
            <v>Dates</v>
          </cell>
          <cell r="R306" t="str">
            <v>Dates</v>
          </cell>
          <cell r="S306" t="str">
            <v>Fechas</v>
          </cell>
        </row>
        <row r="307">
          <cell r="P307" t="str">
            <v>qrr7.3</v>
          </cell>
          <cell r="Q307" t="str">
            <v>Balance from prev. yr.</v>
          </cell>
          <cell r="R307" t="str">
            <v>Solde de l'annee precédente</v>
          </cell>
          <cell r="S307" t="str">
            <v>Saldo de l'ano pasado</v>
          </cell>
        </row>
        <row r="308">
          <cell r="P308" t="str">
            <v>qrr8</v>
          </cell>
          <cell r="Q308" t="str">
            <v>Balance of Budget Available</v>
          </cell>
          <cell r="R308" t="str">
            <v>Solde de Budget Disponible</v>
          </cell>
          <cell r="S308" t="str">
            <v>Balance de Presupuesto Disponible</v>
          </cell>
        </row>
        <row r="309">
          <cell r="P309" t="str">
            <v>qrr9.1</v>
          </cell>
          <cell r="Q309" t="str">
            <v>Requested Now</v>
          </cell>
          <cell r="R309" t="str">
            <v>Demande maintenant</v>
          </cell>
          <cell r="S309" t="str">
            <v>Suma Solicitada Ahora</v>
          </cell>
        </row>
        <row r="310">
          <cell r="P310" t="str">
            <v>qrr9.2</v>
          </cell>
          <cell r="Q310" t="str">
            <v>Leaving Available to Transfer later</v>
          </cell>
          <cell r="R310" t="str">
            <v>Disponible pour transfert plus tard</v>
          </cell>
          <cell r="S310" t="str">
            <v>Dejando Disponible para Transferir luego</v>
          </cell>
        </row>
        <row r="311">
          <cell r="P311" t="str">
            <v>qrr9.3</v>
          </cell>
          <cell r="Q311" t="str">
            <v>Total</v>
          </cell>
          <cell r="R311" t="str">
            <v>Total</v>
          </cell>
          <cell r="S311" t="str">
            <v>Total</v>
          </cell>
        </row>
      </sheetData>
      <sheetData sheetId="1" refreshError="1">
        <row r="3">
          <cell r="D3" t="str">
            <v>Name of Linking Organisation :</v>
          </cell>
        </row>
        <row r="4">
          <cell r="D4" t="str">
            <v>Country: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R-1 Summary"/>
      <sheetName val="BUDGET"/>
      <sheetName val="QR-3"/>
      <sheetName val="QR-4A"/>
      <sheetName val="QR-4B"/>
      <sheetName val="Reference"/>
    </sheetNames>
    <sheetDataSet>
      <sheetData sheetId="0" refreshError="1">
        <row r="1">
          <cell r="B1" t="str">
            <v>International HIV/AIDS Alliance</v>
          </cell>
        </row>
        <row r="3">
          <cell r="B3" t="str">
            <v xml:space="preserve">Quarterly Financial Report </v>
          </cell>
        </row>
        <row r="5">
          <cell r="C5" t="str">
            <v>Summary</v>
          </cell>
        </row>
        <row r="11">
          <cell r="G11" t="str">
            <v>All Figures in Local Currency :</v>
          </cell>
        </row>
        <row r="15">
          <cell r="B15" t="str">
            <v>Category Expenditure</v>
          </cell>
        </row>
      </sheetData>
      <sheetData sheetId="1"/>
      <sheetData sheetId="2"/>
      <sheetData sheetId="3"/>
      <sheetData sheetId="4"/>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What-if"/>
      <sheetName val="Health proc - original vs new"/>
      <sheetName val="ST logistics with methadone"/>
      <sheetName val="ARV drugs needs"/>
      <sheetName val="ST logistics without methadone"/>
      <sheetName val="ST costs Summary"/>
      <sheetName val="Year 3 ST Buprenorphine"/>
      <sheetName val="Year 4 ST"/>
      <sheetName val="Year 5 ST "/>
      <sheetName val="Calculation - drug needs (yr 3)"/>
      <sheetName val="Calculation - drug needs (yr 4)"/>
      <sheetName val="Calculation - drug needs (yr 5)"/>
      <sheetName val="Calculation - children Yr3"/>
      <sheetName val="Calculation - children Yr4"/>
      <sheetName val="Calculation - children Yr5"/>
      <sheetName val="Year 3 - monthly cost amended"/>
      <sheetName val="Year 4 - monthly cost amended"/>
      <sheetName val="Year 5 - monthly cost amended"/>
      <sheetName val="Distr-n of Buffers"/>
      <sheetName val="Ukremedpostach costs"/>
      <sheetName val="PATH indicative budget"/>
      <sheetName val="PATH Updated Budget"/>
      <sheetName val="Health products year 3 original"/>
      <sheetName val="Health products year 3_15-8-05"/>
      <sheetName val="Health products year 3_19-8-05"/>
      <sheetName val="Health products year 3_20-10-05"/>
      <sheetName val="Calculation of needs-Year 3"/>
      <sheetName val="Calculation of needs-yr3-5"/>
      <sheetName val="M &amp; E Y3"/>
      <sheetName val="M &amp; E Y4"/>
      <sheetName val="M &amp; E Y5"/>
      <sheetName val="What_if"/>
      <sheetName val="QR-1 Summary"/>
    </sheetNames>
    <sheetDataSet>
      <sheetData sheetId="0"/>
      <sheetData sheetId="1" refreshError="1">
        <row r="8">
          <cell r="I8">
            <v>23.83</v>
          </cell>
        </row>
        <row r="9">
          <cell r="I9">
            <v>11.9</v>
          </cell>
        </row>
        <row r="10">
          <cell r="I10">
            <v>7.2</v>
          </cell>
        </row>
        <row r="11">
          <cell r="I11">
            <v>5.52</v>
          </cell>
        </row>
        <row r="12">
          <cell r="I12">
            <v>487.58</v>
          </cell>
        </row>
        <row r="13">
          <cell r="I13">
            <v>482.4</v>
          </cell>
        </row>
        <row r="14">
          <cell r="I14">
            <v>179.58</v>
          </cell>
        </row>
        <row r="15">
          <cell r="I15">
            <v>47.35</v>
          </cell>
        </row>
        <row r="16">
          <cell r="I16">
            <v>5.5529599999999997</v>
          </cell>
        </row>
        <row r="17">
          <cell r="I17">
            <v>2.62</v>
          </cell>
        </row>
        <row r="18">
          <cell r="I18">
            <v>13.7216</v>
          </cell>
        </row>
        <row r="19">
          <cell r="I19">
            <v>2.9265599999999998</v>
          </cell>
        </row>
        <row r="20">
          <cell r="I20">
            <v>6.08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_S"/>
      <sheetName val="2014-16_by activities"/>
      <sheetName val="Summary (PR)"/>
      <sheetName val="Summary (SR)"/>
      <sheetName val="Summary"/>
      <sheetName val="GF Rd10 Ph2 WP"/>
      <sheetName val="names"/>
      <sheetName val="BA_Prog"/>
      <sheetName val="BA_Cov+PSM"/>
      <sheetName val="BA_Events"/>
      <sheetName val="BA_General"/>
      <sheetName val="BA_AdminCosts+Staff"/>
      <sheetName val="TP_14-16"/>
      <sheetName val="TP_RC_14-16"/>
      <sheetName val="Lab diag_HVC"/>
      <sheetName val="MARPs_UC"/>
      <sheetName val="NP vs R10"/>
      <sheetName val="2013 by activities"/>
      <sheetName val="GF Rd10 Ph1 6m"/>
      <sheetName val="BA_Prog_2013"/>
      <sheetName val="SR_2013"/>
      <sheetName val="TA_2013"/>
      <sheetName val="TP_2013"/>
      <sheetName val="by teams"/>
      <sheetName val="SR dis_Fcst"/>
    </sheetNames>
    <sheetDataSet>
      <sheetData sheetId="0"/>
      <sheetData sheetId="1"/>
      <sheetData sheetId="2"/>
      <sheetData sheetId="3"/>
      <sheetData sheetId="4"/>
      <sheetData sheetId="5"/>
      <sheetData sheetId="6">
        <row r="3">
          <cell r="D3" t="str">
            <v>UCDC</v>
          </cell>
        </row>
        <row r="4">
          <cell r="D4" t="str">
            <v>Alliance</v>
          </cell>
        </row>
        <row r="5">
          <cell r="D5" t="str">
            <v>Network</v>
          </cell>
        </row>
        <row r="6">
          <cell r="D6" t="str">
            <v>UCDC + Alliance</v>
          </cell>
        </row>
        <row r="7">
          <cell r="D7" t="str">
            <v>UCDC + Network</v>
          </cell>
        </row>
        <row r="8">
          <cell r="D8" t="str">
            <v>Other</v>
          </cell>
        </row>
        <row r="9">
          <cell r="D9" t="str">
            <v>None</v>
          </cell>
        </row>
        <row r="10">
          <cell r="D10" t="str">
            <v>Deleted</v>
          </cell>
        </row>
        <row r="14">
          <cell r="F14" t="str">
            <v>UCDC</v>
          </cell>
        </row>
        <row r="15">
          <cell r="F15" t="str">
            <v>Alliance</v>
          </cell>
        </row>
        <row r="16">
          <cell r="F16" t="str">
            <v>Network</v>
          </cell>
        </row>
        <row r="17">
          <cell r="F17" t="str">
            <v>UCDC + Alliance</v>
          </cell>
        </row>
        <row r="18">
          <cell r="F18" t="str">
            <v>UCDC + Network</v>
          </cell>
        </row>
        <row r="19">
          <cell r="F19" t="str">
            <v>Alliance + Network</v>
          </cell>
        </row>
        <row r="20">
          <cell r="F20" t="str">
            <v>None</v>
          </cell>
        </row>
        <row r="25">
          <cell r="B25" t="str">
            <v>None</v>
          </cell>
        </row>
        <row r="26">
          <cell r="B26" t="str">
            <v>Add</v>
          </cell>
        </row>
        <row r="27">
          <cell r="B27" t="str">
            <v>Delete</v>
          </cell>
        </row>
        <row r="28">
          <cell r="B28" t="str">
            <v>Split - source</v>
          </cell>
        </row>
        <row r="29">
          <cell r="B29" t="str">
            <v>Split - result</v>
          </cell>
        </row>
        <row r="30">
          <cell r="B30" t="str">
            <v>Merge - source</v>
          </cell>
        </row>
        <row r="31">
          <cell r="B31" t="str">
            <v>Merge - result</v>
          </cell>
        </row>
        <row r="32">
          <cell r="B32" t="str">
            <v>Change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S"/>
      <sheetName val="pivot"/>
      <sheetName val="2014-16_by activities"/>
      <sheetName val="Summary (PR)"/>
      <sheetName val="Summary (SR)"/>
      <sheetName val="NewUC"/>
      <sheetName val="UC2"/>
      <sheetName val="BA_Cov+PSM (2)"/>
      <sheetName val="ST"/>
      <sheetName val="GF Rd10 Ph2 WP"/>
      <sheetName val="names"/>
      <sheetName val="BA_Prog"/>
      <sheetName val="BA_Events"/>
      <sheetName val="BA_General"/>
      <sheetName val="BA_AdminCosts+Staff"/>
      <sheetName val="BA_Cov+PSM"/>
      <sheetName val="TP_14-16"/>
      <sheetName val="TP_RC_14-16"/>
      <sheetName val="Lab diag_HVC"/>
      <sheetName val="MARPs_UC"/>
      <sheetName val="MARPs_UC_rev"/>
      <sheetName val="NP vs R10"/>
      <sheetName val="2013 by activities"/>
      <sheetName val="GF Rd10 Ph1 6m"/>
      <sheetName val="BA_Prog_2013"/>
      <sheetName val="SR_2013"/>
      <sheetName val="TA_2013"/>
      <sheetName val="TP_2013"/>
      <sheetName val="by teams"/>
      <sheetName val="SR dis_Fc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3">
          <cell r="B3" t="str">
            <v>SDA 1.1: Community level outreach and service provision to IDUs and their partners</v>
          </cell>
          <cell r="D3" t="str">
            <v>UCDC</v>
          </cell>
        </row>
        <row r="4">
          <cell r="B4" t="str">
            <v>SDA 1.2: Community level outreach and service provision to sex workers (SWs) and their partners</v>
          </cell>
          <cell r="D4" t="str">
            <v>Alliance</v>
          </cell>
        </row>
        <row r="5">
          <cell r="B5" t="str">
            <v>SDA 1.3: Community level outreach and service provision to men, who have sex with men (MSM)</v>
          </cell>
          <cell r="D5" t="str">
            <v>Network</v>
          </cell>
        </row>
        <row r="6">
          <cell r="B6" t="str">
            <v>SDA 1.4: Community outreach and service adherence program for PLWH and partners</v>
          </cell>
          <cell r="D6" t="str">
            <v>UCDC + Alliance</v>
          </cell>
        </row>
        <row r="7">
          <cell r="B7" t="str">
            <v>SDA 1.5: Comprehensive medical facility based clinical services for IDUs, FSWs, MSM, PLWH and their partners</v>
          </cell>
          <cell r="D7" t="str">
            <v>UCDC + Network</v>
          </cell>
        </row>
        <row r="8">
          <cell r="B8" t="str">
            <v>SDA 1.6: Comprehensive service provision to most at risk adolescents (MARA), street children</v>
          </cell>
          <cell r="D8" t="str">
            <v>Other</v>
          </cell>
        </row>
        <row r="9">
          <cell r="B9" t="str">
            <v xml:space="preserve">SDA 1.7: Comprehensive service provision to prisoners </v>
          </cell>
          <cell r="D9" t="str">
            <v>None</v>
          </cell>
        </row>
        <row r="10">
          <cell r="B10" t="str">
            <v>SDA 1.8: Human rights, gender, discrimination and stigma reduction programme</v>
          </cell>
          <cell r="D10" t="str">
            <v>Deleted</v>
          </cell>
        </row>
        <row r="11">
          <cell r="B11" t="str">
            <v>SDA 1.9: Monitoring and evaluation of service provision within the program</v>
          </cell>
        </row>
        <row r="12">
          <cell r="B12" t="str">
            <v>SDA 2.1: Effective leadership and governance</v>
          </cell>
        </row>
        <row r="13">
          <cell r="B13" t="str">
            <v xml:space="preserve">SDA 2.2: Monitoring and evaluation of the national response to HIV/AIDS for evidence-based planning </v>
          </cell>
        </row>
        <row r="14">
          <cell r="B14" t="str">
            <v>SDA 2.3: Transparent and Accountable Procurement Systems for Equitable Access to Quality Essential Pharmaceutical and Health Products and Technologies</v>
          </cell>
          <cell r="F14" t="str">
            <v>UCDC</v>
          </cell>
        </row>
        <row r="15">
          <cell r="B15" t="str">
            <v>SDA 2.4: Well-functioning health workforce: management and development</v>
          </cell>
          <cell r="F15" t="str">
            <v>Alliance</v>
          </cell>
        </row>
        <row r="16">
          <cell r="B16" t="str">
            <v>SDA 2.5: Quality assurance of services</v>
          </cell>
          <cell r="F16" t="str">
            <v>Network</v>
          </cell>
        </row>
        <row r="17">
          <cell r="B17" t="str">
            <v>SDA 3.1: Partnerships, leadership and accountability</v>
          </cell>
          <cell r="F17" t="str">
            <v>UCDC + Alliance</v>
          </cell>
        </row>
        <row r="18">
          <cell r="B18" t="str">
            <v>SDA 3.2: Strengthening civil societies’ organizational and technical capacity</v>
          </cell>
          <cell r="F18" t="str">
            <v>UCDC + Network</v>
          </cell>
        </row>
        <row r="19">
          <cell r="B19" t="str">
            <v xml:space="preserve">SDA 3.3: Advocacy, communication and social mobilization </v>
          </cell>
          <cell r="F19" t="str">
            <v>Alliance + Network</v>
          </cell>
        </row>
        <row r="20">
          <cell r="B20" t="str">
            <v>SDA: Program management and administration</v>
          </cell>
          <cell r="F20" t="str">
            <v>None</v>
          </cell>
        </row>
        <row r="21">
          <cell r="B21" t="str">
            <v>Supportive environment: Program management and administration</v>
          </cell>
        </row>
        <row r="25">
          <cell r="B25" t="str">
            <v>None</v>
          </cell>
        </row>
        <row r="26">
          <cell r="B26" t="str">
            <v>Add</v>
          </cell>
        </row>
        <row r="27">
          <cell r="B27" t="str">
            <v>Delete</v>
          </cell>
        </row>
        <row r="28">
          <cell r="B28" t="str">
            <v>Split - source</v>
          </cell>
        </row>
        <row r="29">
          <cell r="B29" t="str">
            <v>Split - result</v>
          </cell>
        </row>
        <row r="30">
          <cell r="B30" t="str">
            <v>Merge - source</v>
          </cell>
        </row>
        <row r="31">
          <cell r="B31" t="str">
            <v>Merge - result</v>
          </cell>
        </row>
        <row r="32">
          <cell r="B32" t="str">
            <v>Change</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itle sheet"/>
      <sheetName val="General instructions"/>
      <sheetName val="General assumptions"/>
      <sheetName val="Detailed assumptions"/>
      <sheetName val="Detailed budget- Year 1"/>
      <sheetName val="Detailed budget- Year 2"/>
      <sheetName val="Detailed budget-Year 3, 4 and 5"/>
      <sheetName val="5 Year Budget"/>
      <sheetName val="Summary"/>
      <sheetName val="names"/>
    </sheetNames>
    <sheetDataSet>
      <sheetData sheetId="0">
        <row r="2">
          <cell r="A2" t="str">
            <v>HIV_AIDS</v>
          </cell>
          <cell r="B2" t="str">
            <v>Malaria</v>
          </cell>
          <cell r="C2" t="str">
            <v>Tuberculosis</v>
          </cell>
          <cell r="D2" t="str">
            <v>HSS_Section_4B</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Report"/>
      <sheetName val="Summary Report"/>
      <sheetName val="SUN Expenditure All Years"/>
      <sheetName val="PSF 2005 Direct Costs"/>
      <sheetName val="PSF 2005 Overhead"/>
      <sheetName val="Current Year Spend"/>
      <sheetName val="Budgets All Years"/>
      <sheetName val="Management Fees"/>
      <sheetName val="SUN Income"/>
      <sheetName val="PSF Income"/>
      <sheetName val="Donors"/>
      <sheetName val="Donor A-Z Listing"/>
      <sheetName val="USAID Obligation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row r="2">
          <cell r="A2" t="str">
            <v>Abbott Burkina Faso</v>
          </cell>
        </row>
        <row r="3">
          <cell r="A3" t="str">
            <v>Abbott India</v>
          </cell>
        </row>
        <row r="4">
          <cell r="A4" t="str">
            <v>Abbott OVC toolkit</v>
          </cell>
        </row>
        <row r="5">
          <cell r="A5" t="str">
            <v>AidsFond Friends for Life</v>
          </cell>
        </row>
        <row r="6">
          <cell r="A6" t="str">
            <v>Bernard van Leer Foundation</v>
          </cell>
        </row>
        <row r="7">
          <cell r="A7" t="str">
            <v>Canadian HIV/AIDS Network</v>
          </cell>
        </row>
        <row r="8">
          <cell r="A8" t="str">
            <v>Comic Relief Morocco</v>
          </cell>
        </row>
        <row r="9">
          <cell r="A9" t="str">
            <v>Comic Relief Nigeria</v>
          </cell>
        </row>
        <row r="10">
          <cell r="A10" t="str">
            <v>Core Uganda</v>
          </cell>
        </row>
        <row r="11">
          <cell r="A11" t="str">
            <v>Danida Afr Reg</v>
          </cell>
        </row>
        <row r="12">
          <cell r="A12" t="str">
            <v>DfID PPA for LAC</v>
          </cell>
        </row>
        <row r="13">
          <cell r="A13" t="str">
            <v>DfID Tourism</v>
          </cell>
        </row>
        <row r="14">
          <cell r="A14" t="str">
            <v>Dutch Govt Afr 2005+</v>
          </cell>
        </row>
        <row r="15">
          <cell r="A15" t="str">
            <v>EC Madagascar</v>
          </cell>
        </row>
        <row r="16">
          <cell r="A16" t="str">
            <v>EC Myanmar</v>
          </cell>
        </row>
        <row r="17">
          <cell r="A17" t="str">
            <v>EU Care</v>
          </cell>
        </row>
        <row r="18">
          <cell r="A18" t="str">
            <v>EU Mongolia</v>
          </cell>
        </row>
        <row r="19">
          <cell r="A19" t="str">
            <v>FHAM Myanmar</v>
          </cell>
        </row>
        <row r="20">
          <cell r="A20" t="str">
            <v>FHI Zambia</v>
          </cell>
        </row>
        <row r="21">
          <cell r="A21" t="str">
            <v>Firelight Foundation</v>
          </cell>
        </row>
        <row r="22">
          <cell r="A22" t="str">
            <v>Firelight Foundation for OVC Conference</v>
          </cell>
        </row>
        <row r="23">
          <cell r="A23" t="str">
            <v>Ford EU (Aug 04+)</v>
          </cell>
        </row>
        <row r="24">
          <cell r="A24" t="str">
            <v>Ford Foundation in China</v>
          </cell>
        </row>
        <row r="25">
          <cell r="A25" t="str">
            <v>Ford Mozambique</v>
          </cell>
        </row>
        <row r="26">
          <cell r="A26" t="str">
            <v>Gates FPP</v>
          </cell>
        </row>
        <row r="27">
          <cell r="A27" t="str">
            <v>Gates India</v>
          </cell>
        </row>
        <row r="28">
          <cell r="A28" t="str">
            <v>Global Fund Ukraine - Phase I</v>
          </cell>
        </row>
        <row r="29">
          <cell r="A29" t="str">
            <v>Global Fund Ukraine - Phase II</v>
          </cell>
        </row>
        <row r="30">
          <cell r="A30" t="str">
            <v>GSK Mexico</v>
          </cell>
        </row>
        <row r="31">
          <cell r="A31" t="str">
            <v>GTZ MSM work in LAC</v>
          </cell>
        </row>
        <row r="32">
          <cell r="A32" t="str">
            <v>HCP Zambia</v>
          </cell>
        </row>
        <row r="33">
          <cell r="A33" t="str">
            <v>Health Comm Project</v>
          </cell>
        </row>
        <row r="34">
          <cell r="A34" t="str">
            <v>Horizons (AI02.42A)</v>
          </cell>
        </row>
        <row r="35">
          <cell r="A35" t="str">
            <v>J&amp;J China</v>
          </cell>
        </row>
        <row r="36">
          <cell r="A36" t="str">
            <v>J&amp;J, CSD GF work in India</v>
          </cell>
        </row>
        <row r="37">
          <cell r="A37" t="str">
            <v>JSI Central Asia</v>
          </cell>
        </row>
        <row r="38">
          <cell r="A38" t="str">
            <v>JSI Sudan</v>
          </cell>
        </row>
        <row r="39">
          <cell r="A39" t="str">
            <v>Levi Strauss in china</v>
          </cell>
        </row>
        <row r="40">
          <cell r="A40" t="str">
            <v>Monument Mozambique</v>
          </cell>
        </row>
        <row r="41">
          <cell r="A41" t="str">
            <v>Nuffield Zambia (PPAZ)</v>
          </cell>
        </row>
        <row r="42">
          <cell r="A42" t="str">
            <v>PAF Myanmar</v>
          </cell>
        </row>
        <row r="43">
          <cell r="A43" t="str">
            <v>Pfizer Caribbean</v>
          </cell>
        </row>
        <row r="44">
          <cell r="A44" t="str">
            <v>Pop AI04.18A (Zambia)</v>
          </cell>
        </row>
        <row r="45">
          <cell r="A45" t="str">
            <v>Pop Council AI03.32A (India)</v>
          </cell>
        </row>
        <row r="46">
          <cell r="A46" t="str">
            <v>SIDA for Burkina Faso</v>
          </cell>
        </row>
        <row r="47">
          <cell r="A47" t="str">
            <v>Sub-Saharan African Group</v>
          </cell>
        </row>
        <row r="48">
          <cell r="A48" t="str">
            <v>Swedish Africa 2005-7</v>
          </cell>
        </row>
        <row r="49">
          <cell r="A49" t="str">
            <v>Tides for AIDS Care China</v>
          </cell>
        </row>
        <row r="50">
          <cell r="A50" t="str">
            <v>Tides for Collaborative Fund in China</v>
          </cell>
        </row>
        <row r="51">
          <cell r="A51" t="str">
            <v>UNAIDS Global Coalition on Women and AIDS</v>
          </cell>
        </row>
        <row r="52">
          <cell r="A52" t="str">
            <v>Unicef in Mozambique</v>
          </cell>
        </row>
        <row r="53">
          <cell r="A53" t="str">
            <v>University of Washington (I-TECH) for Caribbean</v>
          </cell>
        </row>
        <row r="54">
          <cell r="A54" t="str">
            <v>US Asia Regional</v>
          </cell>
        </row>
        <row r="55">
          <cell r="A55" t="str">
            <v>US Cambodia Bureau</v>
          </cell>
        </row>
        <row r="56">
          <cell r="A56" t="str">
            <v>US Caribbean</v>
          </cell>
        </row>
        <row r="57">
          <cell r="A57" t="str">
            <v>US China</v>
          </cell>
        </row>
        <row r="58">
          <cell r="A58" t="str">
            <v>US Côte d'Ivoire</v>
          </cell>
        </row>
        <row r="59">
          <cell r="A59" t="str">
            <v>US Livingstone</v>
          </cell>
        </row>
        <row r="60">
          <cell r="A60" t="str">
            <v>US Madagascar</v>
          </cell>
        </row>
        <row r="61">
          <cell r="A61" t="str">
            <v>US Morocco</v>
          </cell>
        </row>
        <row r="62">
          <cell r="A62" t="str">
            <v>US North Africa MSM</v>
          </cell>
        </row>
        <row r="63">
          <cell r="A63" t="str">
            <v>US RDMA</v>
          </cell>
        </row>
        <row r="64">
          <cell r="A64" t="str">
            <v>US Sudan</v>
          </cell>
        </row>
        <row r="65">
          <cell r="A65" t="str">
            <v>US Ukraine Mission</v>
          </cell>
        </row>
        <row r="66">
          <cell r="A66" t="str">
            <v>US Zimbabwe</v>
          </cell>
        </row>
        <row r="67">
          <cell r="A67" t="str">
            <v>USAID RFA Ukraine</v>
          </cell>
        </row>
        <row r="68">
          <cell r="A68" t="str">
            <v>Weston, Patrick, Willard &amp; Redding</v>
          </cell>
        </row>
        <row r="69">
          <cell r="A69" t="str">
            <v>Zambia National Aids ACER</v>
          </cell>
        </row>
        <row r="70">
          <cell r="A70" t="str">
            <v>Zambia National Aids non-ACER</v>
          </cell>
        </row>
      </sheetData>
      <sheetData sheetId="12"/>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V AIDS_Financial Data"/>
      <sheetName val="Definitions"/>
      <sheetName val="Annex 1"/>
      <sheetName val="Annex 2"/>
      <sheetName val="Annex 3"/>
    </sheetNames>
    <sheetDataSet>
      <sheetData sheetId="0" refreshError="1"/>
      <sheetData sheetId="1">
        <row r="30">
          <cell r="C30" t="str">
            <v>Please select…</v>
          </cell>
        </row>
        <row r="31">
          <cell r="C31" t="str">
            <v>Prevention: BCC - Mass media</v>
          </cell>
        </row>
        <row r="32">
          <cell r="C32" t="str">
            <v>Prevention: BCC - community outreach</v>
          </cell>
        </row>
        <row r="33">
          <cell r="C33" t="str">
            <v>Prevention: Condom distribution</v>
          </cell>
        </row>
        <row r="34">
          <cell r="C34" t="str">
            <v>Prevention: Testing and Counseling</v>
          </cell>
        </row>
        <row r="35">
          <cell r="C35" t="str">
            <v>Prevention: PMTCT</v>
          </cell>
        </row>
        <row r="36">
          <cell r="C36" t="str">
            <v>Prevention: Post-exposure prophylaxis (PEP)</v>
          </cell>
        </row>
        <row r="37">
          <cell r="C37" t="str">
            <v>Prevention: STI diagnosis and treatment</v>
          </cell>
        </row>
        <row r="38">
          <cell r="C38" t="str">
            <v>Prevention: Blood safety and universal precaution</v>
          </cell>
        </row>
        <row r="39">
          <cell r="C39" t="str">
            <v>Treatment: Antiretroviral treatment (ARV) and monitoring</v>
          </cell>
        </row>
        <row r="40">
          <cell r="C40" t="str">
            <v>Treatment: Prophylaxis and treatment for opportunistic infections</v>
          </cell>
        </row>
        <row r="41">
          <cell r="C41" t="str">
            <v>Care and support: Care and support for the chronically ill</v>
          </cell>
        </row>
        <row r="42">
          <cell r="C42" t="str">
            <v>Care and support: Support for orphans and vulnerable children</v>
          </cell>
        </row>
        <row r="43">
          <cell r="C43" t="str">
            <v>TB/HIV collaborative activities: TB/HIV</v>
          </cell>
        </row>
        <row r="44">
          <cell r="C44" t="str">
            <v>Supportive environment: Policy development including workplace policy</v>
          </cell>
        </row>
        <row r="45">
          <cell r="C45" t="str">
            <v xml:space="preserve">Supportive environment: Strengthening of civil society and institutional capacity building </v>
          </cell>
        </row>
        <row r="46">
          <cell r="C46" t="str">
            <v>Supportive environment: Stigma reduction in all settings</v>
          </cell>
        </row>
        <row r="47">
          <cell r="C47" t="str">
            <v>Supportive environment: Program management and administration</v>
          </cell>
        </row>
        <row r="48">
          <cell r="C48" t="str">
            <v>HSS: Service delivery</v>
          </cell>
        </row>
        <row r="49">
          <cell r="C49" t="str">
            <v>HSS: Human resources</v>
          </cell>
        </row>
        <row r="50">
          <cell r="C50" t="str">
            <v>HSS: Community Systems Strengthening</v>
          </cell>
        </row>
        <row r="51">
          <cell r="C51" t="str">
            <v>HSS: Information system &amp; Operational research</v>
          </cell>
        </row>
        <row r="52">
          <cell r="C52" t="str">
            <v>HSS: Infrastructure</v>
          </cell>
        </row>
        <row r="53">
          <cell r="C53" t="str">
            <v>HSS: Procurement and Supply management</v>
          </cell>
        </row>
        <row r="54">
          <cell r="C54" t="str">
            <v>HSS: other - specify</v>
          </cell>
        </row>
      </sheetData>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2"/>
      <sheetName val="BA-OB2 Original Proposal"/>
      <sheetName val="Reference"/>
      <sheetName val="Budget"/>
      <sheetName val="CatInt"/>
    </sheetNames>
    <sheetDataSet>
      <sheetData sheetId="0">
        <row r="5">
          <cell r="G5" t="str">
            <v>Сфери надання послуг (СНП)</v>
          </cell>
          <cell r="H5" t="str">
            <v>Опис одиниць</v>
          </cell>
          <cell r="Q5" t="str">
            <v>Розрахунок вартості</v>
          </cell>
        </row>
        <row r="7">
          <cell r="Q7" t="str">
            <v>Бюджет оригінальної заявки +
1800000 заощаджених коштів з ОВ 2</v>
          </cell>
        </row>
        <row r="8">
          <cell r="Q8" t="str">
            <v xml:space="preserve">Бюджет оригінальної заявки </v>
          </cell>
        </row>
        <row r="15">
          <cell r="G15" t="str">
            <v xml:space="preserve">Адвокація і технічна підтримка з метою зменшення цін на АРВ-препарати шляхом співпраці з ВООЗ, Фондом Клінтона та іншими потенційними партнерами             </v>
          </cell>
          <cell r="H15" t="str">
            <v>Доступні препарати за низькою ціною з щорічним переглядом</v>
          </cell>
          <cell r="Q15" t="str">
            <v xml:space="preserve">Оскільки рівень задіяності персоналу  з часом змінюється, неможливо застосувати єдину одиничну вартість для цієї бюджетної статті. Для більш детальної інформації див. відповідний розрахунок одиничної вартості, тощо. </v>
          </cell>
        </row>
        <row r="16">
          <cell r="G16" t="str">
            <v xml:space="preserve">ОР проводить семінар із залученням представників Національного Центру з профілактики та боротьби зі СНІДом, обласних координаційних рад, місцевих скоординованих мереж та МОЗ для розгляду питанння щодо поширення сайтів з надання АРВ </v>
          </cell>
          <cell r="H16" t="str">
            <v>Проведений семінар</v>
          </cell>
          <cell r="Q16" t="str">
            <v>Семінар для 50 осіб на 3 дні, добові/проживання на особу на добу=50 дол.США, трансфер на особу 50 дол.США, оренда приміщення, обладнання і логістика = 1000 дол.США в день</v>
          </cell>
        </row>
        <row r="17">
          <cell r="G17" t="str">
            <v xml:space="preserve">Розробити пропозицію з вдосконалення чинного законодавства/процедур, що дозволить дистрибуцію і збільшить доступ до АРТ на місцевому рівні </v>
          </cell>
          <cell r="H17" t="str">
            <v>Розроблена і погоджена пропозиція</v>
          </cell>
          <cell r="Q17" t="str">
            <v>обов'язок ОР</v>
          </cell>
        </row>
        <row r="21">
          <cell r="G21" t="str">
            <v xml:space="preserve">МОЗ започаткує робочу групу за технічної підтримки з боку ОР з метою розробки/перегляду клінічних протоколів кожних два роки                                                               </v>
          </cell>
          <cell r="H21" t="str">
            <v>Технічна підтримка робочої групи</v>
          </cell>
          <cell r="Q21" t="str">
            <v xml:space="preserve">включає 500 дол.США для національних експертів, 50 дол.США за редагування кожного із 5 протоколів (АРВ для дорослих, догляд для ВІЛ-позитивних СІН, Гепатит як ко-інфекція ВІЛ, ТБ як ко-інфекція ВІЛ, опортуністичні інфекції) </v>
          </cell>
        </row>
        <row r="22">
          <cell r="G22" t="str">
            <v>Публікація і поширення оновлених національних протоколів з лікування ВІЛ/СНІД у дорослих і підлітків</v>
          </cell>
          <cell r="H22" t="str">
            <v>Публікація і поширення протоколів</v>
          </cell>
          <cell r="Q22" t="str">
            <v>Друк і поширення матеріалів за 8 дол. США за копію</v>
          </cell>
        </row>
        <row r="23">
          <cell r="G23" t="str">
            <v xml:space="preserve">Внесок персоналу ОР у реалізацію компонента: технічна підтримка, документація, поширення, розробка стандартного інструментарію, форматів та документів для планування програм, їх реалізації, моніторингу та звітності  </v>
          </cell>
          <cell r="H23" t="str">
            <v xml:space="preserve">Оскільки рівень задіяності персоналу  з часом змінюється, неможливо застосувати єдину одиничну вартість для цієї бюджетної статті. Для більш детальної інформації див. відповідний розрахунок одиничної вартості, тощо. </v>
          </cell>
          <cell r="Q23" t="str">
            <v xml:space="preserve">Оскільки рівень задіяності персоналу  з часом змінюється, неможливо застосувати єдину одиничну вартість для цієї бюджетної статті. Для більш детальної інформації див. відповідний розрахунок одиничної вартості, тощо. </v>
          </cell>
        </row>
        <row r="27">
          <cell r="G27" t="str">
            <v>Забезпечення АРВ-препаратами 5000 СІН, в т.ч. 500 пацієнтів у пенітенціарній системі</v>
          </cell>
          <cell r="H27" t="str">
            <v>На пацієнта в рік</v>
          </cell>
          <cell r="Q27" t="str">
            <v xml:space="preserve">Див. детальне моделювання в додатку. Розширення АРТ включає нових пацієнтів на АРТ із прогами ЗТ, лікарень та в'язниць (1 рік - 600 нових пацієнтів; 2 рік - 800; 3 рік - 1000; 4 рік - 1200; 5 рік - 1400)                                                    </v>
          </cell>
        </row>
        <row r="28">
          <cell r="G28" t="str">
            <v xml:space="preserve">Збільшення і утримання кількості сайтів з надання АРТ-лікування </v>
          </cell>
          <cell r="H28" t="str">
            <v>Нові місця, де надаються послуги з АРТ (кумулятивна кількість)</v>
          </cell>
          <cell r="Q28" t="str">
            <v>Лікування через СНІД-центри, кошти на персонал і офісні витрати покриваються з державного бюджету на ВІЛ/СНІД</v>
          </cell>
        </row>
        <row r="29">
          <cell r="G29" t="str">
            <v>Залучення і моніторинг пацієнтів, яким була прописана АРТ, і тих, хто вже перебуває на АРТ</v>
          </cell>
          <cell r="H29" t="str">
            <v>Пакет заходів з моніторингу на пацієнта в рік</v>
          </cell>
          <cell r="Q29" t="str">
            <v xml:space="preserve">Кошти в розрахунку включають лабораторний моніторинг за допомогою CD4 чотири рази в рік (5 дол.США за тест) і VL раз на рік (95 дол.США за тест)   </v>
          </cell>
        </row>
        <row r="30">
          <cell r="G30" t="str">
            <v>Залучення і моніторинг пацієнтів, яким була прописана АРТ, і тих, хто вже перебуває на АРТ у місцях позбавлення волі</v>
          </cell>
          <cell r="H30" t="str">
            <v>Пакет заходів з моніторингу на пацієнта, що перебуває в місці позбавлення волі, в рік</v>
          </cell>
          <cell r="Q30" t="str">
            <v xml:space="preserve">Кошти в розрахунку включають лабораторний моніторинг за допомогою CD4 чотири рази в рік (5 дол.США за тест) і VL раз на рік (95 дол.США за тест)   </v>
          </cell>
        </row>
        <row r="34">
          <cell r="G34" t="str">
            <v>ОР запровадить прозорий процес закупівлі і розповсюдження АРТ</v>
          </cell>
          <cell r="H34" t="str">
            <v>Процес запроваджений і щорічно переглядається</v>
          </cell>
          <cell r="Q34" t="str">
            <v>Обов'язок ОР</v>
          </cell>
        </row>
        <row r="35">
          <cell r="G35" t="str">
            <v>Закупівельні накладні витрати, дистрибуція і зберігання препаратів</v>
          </cell>
          <cell r="H35" t="str">
            <v>Витрати на закупівлю (4%)</v>
          </cell>
          <cell r="Q35" t="str">
            <v>4% закупівельної ціни на АРВ-препарати, на основі бюджету реалізації від 2005 р.</v>
          </cell>
        </row>
        <row r="36">
          <cell r="G36" t="str">
            <v>ОР створить або визначить систему постачання, яка точно відображатиме попит на АРТ і попереджатиме нестачу препаратів</v>
          </cell>
          <cell r="H36" t="str">
            <v>Система, що функціонує</v>
          </cell>
          <cell r="Q36" t="str">
            <v>Обов'язок ОР</v>
          </cell>
        </row>
        <row r="37">
          <cell r="G37" t="str">
            <v xml:space="preserve">Визначити ймовірність створення особливої ролі фармацевтів у розповсюдженні АРТ </v>
          </cell>
          <cell r="H37" t="str">
            <v xml:space="preserve">Дослідження </v>
          </cell>
          <cell r="Q37" t="str">
            <v>Вартість є припустимою і включає в себе зустрічі робочої групи за 500 дол.США і міжнародна підтримка 300 дол.США за 10 днів</v>
          </cell>
        </row>
        <row r="38">
          <cell r="G38" t="str">
            <v>Впровадження пілотної програми для фармацевтів у 2 сайтах</v>
          </cell>
          <cell r="H38" t="str">
            <v xml:space="preserve">Пілотна програма для фармацевтів </v>
          </cell>
          <cell r="Q38" t="str">
            <v>Включає зарплату фармацевта (3600 дол.США в рік) і 4 візити технічних консультантів на сайт в рік (Передбачається, що один день візиту тех. консультанта на особу: трансфер 50 дол.США на особу, добові 50 дол.США на особу, проживання 60 дол.США на особу = 1</v>
          </cell>
        </row>
        <row r="39">
          <cell r="G39" t="str">
            <v xml:space="preserve">Внесок персоналу ОР у реалізацію компонента: технічна підтримка, документація, поширення, розробка стандартного інструментарію, форматів та документів для планування програм, їх реалізації, моніторингу та звітності </v>
          </cell>
          <cell r="H39" t="str">
            <v xml:space="preserve">Оскільки рівень задіяності персоналу  з часом змінюється, неможливо застосувати єдину одиничну вартість для цієї бюджетної статті. Для більш детальної інформації див. відповідний розрахунок одиничної вартості, тощо </v>
          </cell>
          <cell r="Q39" t="str">
            <v xml:space="preserve">Оскільки рівень задіяності персоналу  з часом змінюється, неможливо застосувати єдину одиничну вартість для цієї бюджетної статті. Для більш детальної інформації див. відповідний розрахунок одиничної вартості, тощо. </v>
          </cell>
        </row>
        <row r="43">
          <cell r="G43" t="str">
            <v>Визначення основних потреб у системі звітування та відслідковування пацієнтів з ВІЛ шляхом створення робочої групи експертів</v>
          </cell>
          <cell r="H43" t="str">
            <v>Робоча група з ключових експертів</v>
          </cell>
          <cell r="Q43" t="str">
            <v>Нарада робочої групи 500 дол.США і моніторинговий візит до 6 сайтів (один день візиту на дві особи на сайт: трансфер 50 дол.США, добові 50 дол.США, проживання 60 дол.США на особу на день = 160 дол.США на особу)</v>
          </cell>
        </row>
        <row r="44">
          <cell r="G44" t="str">
            <v>Переглянути поточні параметри з програмного забезпечення і визначити необхідність у їх поновленні чи заміні</v>
          </cell>
          <cell r="H44" t="str">
            <v>Аналіз програмного забезпечення</v>
          </cell>
          <cell r="Q44" t="str">
            <v xml:space="preserve">вартість є припустимою і включає в себе зустрічі робочої групи за 500 дол.США і міжнародна підтримка 300 дол.США за 3 дні                                                           </v>
          </cell>
        </row>
        <row r="45">
          <cell r="G45" t="str">
            <v>Придбання і/або поновлення системи до 2009 р.</v>
          </cell>
          <cell r="H45" t="str">
            <v>Придбана нова або оновлена система</v>
          </cell>
          <cell r="Q45" t="str">
            <v xml:space="preserve">На основі бюджету реалізації 1-го раунду </v>
          </cell>
        </row>
        <row r="46">
          <cell r="G46" t="str">
            <v>Обробка зібраних даних з місцевих мереж</v>
          </cell>
          <cell r="H46" t="str">
            <v>Тренінг для персоналу із обробки даних (в т.ч. щодо питань конфіденційності)</v>
          </cell>
          <cell r="Q46" t="str">
            <v xml:space="preserve">3-денний тренінг для 10 учасників з нових сайтів, де було встановлено програмне забезпечення (добові/проживання на особу в день=50 дол.США, транспортні витрати для особи 50 дол.США, оренда обладнання і приміщення. логістика = 500 дол.США в день)          </v>
          </cell>
        </row>
        <row r="47">
          <cell r="G47" t="str">
            <v>Надання програмного забезпечення ключовим працівникам, які пройшли тренінг і відповідають за збір даних у місцевих мережах</v>
          </cell>
          <cell r="H47" t="str">
            <v>Кількість наданих копій програмного забезпечення</v>
          </cell>
          <cell r="Q47" t="str">
            <v>Вартість є припустимою і включає в себе закупівлю комп'ютерів (800 дол.США на сайт) і підтримку програмного забезпечення (500 дол.США на сайт на рік)</v>
          </cell>
        </row>
        <row r="48">
          <cell r="G48" t="str">
            <v>Оцінка ефективності системи відслідковування пацієнтів</v>
          </cell>
          <cell r="H48" t="str">
            <v>Оцінка Програми</v>
          </cell>
          <cell r="Q48" t="str">
            <v xml:space="preserve">Передбачається одноденна місія для двох осіб: трансфер 50 дол.США на особу, добові 50 дол.США на особу, проживання 60 на особу в день = 160 дол.США на особу на сайт   </v>
          </cell>
        </row>
        <row r="49">
          <cell r="G49" t="str">
            <v>Підтримка розвитку і впровадження національної програми з резистентності до АРВ-препаратів</v>
          </cell>
          <cell r="H49" t="str">
            <v>Дослідження з резистентності до препаратів</v>
          </cell>
          <cell r="Q49" t="str">
            <v xml:space="preserve">Передбачається обстеження 50 пацієнтів на сайт за 150 дол.США за пацієнта, транспортування, обслуговування обладнання і адміністративні витрати 3000 дол.США на сайт і зарплата працівників лабораторії (3 особи *300*11 місяців) в 6 сайтах     </v>
          </cell>
        </row>
        <row r="53">
          <cell r="G53" t="str">
            <v>Зарплата управлінського персоналу</v>
          </cell>
          <cell r="H53" t="str">
            <v>Одноразова сума на рік</v>
          </cell>
          <cell r="Q53" t="str">
            <v xml:space="preserve">Включає зарплату персоналу, офісні витрати, на основі бюджету реалізації 1-го раунду          </v>
          </cell>
        </row>
        <row r="57">
          <cell r="G57" t="str">
            <v>Зарплата управлінського персоналу</v>
          </cell>
          <cell r="H57" t="str">
            <v>Одноразова сума на рік</v>
          </cell>
          <cell r="Q57" t="str">
            <v xml:space="preserve">Включає зарплату персоналу, офісні витрати, на основі бюджету реалізації 1-го раунду          </v>
          </cell>
        </row>
        <row r="61">
          <cell r="G61" t="str">
            <v>Проведення тренінгів з супутньої інфекції ТБ та ЗТ для 14 мережевих команд з надання догляду, які пройшли тренінг з АРТ у 1-му раунді = 2 тренінги</v>
          </cell>
          <cell r="H61" t="str">
            <v>5 денні тренінги</v>
          </cell>
          <cell r="Q61" t="str">
            <v xml:space="preserve">До складу кожної широкої команди з надання догляду входять інфекціоніст, нарколог, лікар з ТБ, соціальний працівник/консультант і кейс-менеджер  </v>
          </cell>
        </row>
        <row r="62">
          <cell r="G62" t="str">
            <v xml:space="preserve">Проведення тренінгів з надання АРТ для СІН, які перебувають на ЗТ, і ТБ для 27 мережевих команд з надання догляду, які пройшли тренінг у 1-му раунді = 4 тренінги                  </v>
          </cell>
          <cell r="H62" t="str">
            <v>5 денні тренінги</v>
          </cell>
          <cell r="Q62" t="str">
            <v xml:space="preserve">До складу кожної широкої команди з надання догляду входять інфекціоніст, нарколог, лікар з ТБ, соціальний працівник/консультант і кейс-менеджер  </v>
          </cell>
        </row>
        <row r="63">
          <cell r="G63" t="str">
            <v xml:space="preserve">Проведення тренінгів для 16 команд з догляду, які пройшли повний курс навчання у 1-му раунді, з акцентом на співпрацю та координацію у створених мережах = 3 тренінги                 </v>
          </cell>
          <cell r="H63" t="str">
            <v>5 денні тренінги</v>
          </cell>
          <cell r="Q63" t="str">
            <v xml:space="preserve">До складу кожної широкої команди з надання догляду входять інфекціоніст, нарколог, лікар з ТБ, соціальний працівник/консультант і кейс-менеджер  </v>
          </cell>
        </row>
        <row r="64">
          <cell r="G64" t="str">
            <v xml:space="preserve">Проведення серій (з 2-х) тренінгів для кожної з додаткових 72 нових і розширених команд з надання догляду з ініціювання курсу АРТ/ТБ/ЗТ та продовження курсу АРТ/ТБ/ЗТ, що мають на меті охопити всі мережі = всього 24 тренінги      </v>
          </cell>
          <cell r="H64" t="str">
            <v>5 денні тренінги</v>
          </cell>
          <cell r="Q64" t="str">
            <v xml:space="preserve">До складу кожної широкої команди з надання догляду входять інфекціоніст, нарколог, лікар з ТБ, соціальний працівник/консультант і кейс-менеджер  </v>
          </cell>
        </row>
        <row r="65">
          <cell r="G65" t="str">
            <v>Створення і подальший розвиток Національного тренінгового центру</v>
          </cell>
          <cell r="H65" t="str">
            <v>Національний тренінговий центр буде зареєстровано як юридичну особу - благодійну організацію на національному рівні</v>
          </cell>
          <cell r="Q65" t="str">
            <v>Витрати обраховано в бюджетних розрахунках</v>
          </cell>
        </row>
        <row r="66">
          <cell r="G66" t="str">
            <v>Розширити діючі програми з менторингу/наставництва з охопленням усіх 100 мереж</v>
          </cell>
          <cell r="H66" t="str">
            <v>3-денні візити менторів/наставників у сайти кожної з мереж</v>
          </cell>
          <cell r="Q66" t="str">
            <v xml:space="preserve">Менторинг здійснюватимуть 2 національних ментора/факультети; вартість визначено у бюджетних розрахунках </v>
          </cell>
        </row>
        <row r="71">
          <cell r="G71" t="str">
            <v>Підтримка і технічна допомога</v>
          </cell>
          <cell r="H71" t="str">
            <v>Одноразова сума на місто/місце, де надаються послуги</v>
          </cell>
          <cell r="Q71" t="str">
            <v xml:space="preserve">Витрати включають підтримку сайту, підготовку до зберігання, тренінг, функціональна система звітності щодо АРТ. Розрахунки зроблено на основі бюджету реалізації 1-го раунду           </v>
          </cell>
        </row>
        <row r="75">
          <cell r="G75" t="str">
            <v>Мережі претендуватимуть на отримання статусу пілотних сайтів. Медичний заклад (ВІЛ/СНІД, ТБ або наркологія) в межах мережі виявить бажання розповсюджувати АРВ (включити тренінг для спеціалістів, зберігання АРВ і плани моніторингу)</v>
          </cell>
          <cell r="H75" t="str">
            <v>Одноразова сума на місто/місце, де надаються послуги</v>
          </cell>
          <cell r="Q75" t="str">
            <v xml:space="preserve">Витрати включають підтримку сайту, підготовку до зберігання, тренінг, функціональна система звітності щодо АРТ. Розрахунки зроблено на основі бюджету реалізації 1-го раунду           </v>
          </cell>
        </row>
        <row r="76">
          <cell r="G76" t="str">
            <v xml:space="preserve">Місця, де надаються полсуги (сайти) будуть оцінюватися з точки зору якості послуг, відповідності застосування АРТ і задоволення потреб клієнтів. Індикатори можуть використовуватися як основа для операційного дослідження.                  </v>
          </cell>
          <cell r="H76" t="str">
            <v>Одноразова сума на місто/місце, де надаються послуги</v>
          </cell>
          <cell r="Q76" t="str">
            <v xml:space="preserve">Міжнародний експерт (10 днів за 300), відрядження до сайту (5 000), місцеві команди з дослідження (6000) </v>
          </cell>
        </row>
        <row r="85">
          <cell r="G85" t="str">
            <v xml:space="preserve">Медичні заклади в межах діяльності із розвитку мереж розвинуть/поєднають/або розроблять офіційні форми переадресації з метою забезпечення догляду для ВІЛ-інфікованих, що включатиме послуги з АРТ/ОІ/ІПСШ               </v>
          </cell>
          <cell r="Q85" t="str">
            <v>Покривається в рамках СНП Координація</v>
          </cell>
        </row>
        <row r="86">
          <cell r="G86" t="str">
            <v>Документ розроблено і підписано між надавачами послуг і мережею</v>
          </cell>
          <cell r="H86" t="str">
            <v>Сервісна мережа</v>
          </cell>
          <cell r="Q86" t="str">
            <v>Частина послуг мережі</v>
          </cell>
        </row>
        <row r="90">
          <cell r="G90" t="str">
            <v>Забезпечення профілактики пневмоцистної пневмонії для нових пацієнтів на АРТ, в т.ч. пацієнтів у пенітенціарній системі</v>
          </cell>
          <cell r="H90" t="str">
            <v>На пацієнта в рік</v>
          </cell>
          <cell r="Q90" t="str">
            <v>Див. бюджетні розрахунки з профілактики пневмоцистної пневмонії. Витрати взяті на основі 1-го року - Тріметопрім/Сульфаіметоксазол приймаються тричі на тиждень (вартість 1 табл.Тріметопріму/Сульфаіметоксазолу становить $0,05)</v>
          </cell>
        </row>
        <row r="91">
          <cell r="G91" t="str">
            <v xml:space="preserve">Лікування пневмоцистної пневмонії для пацієнтів на АРТ, в т.ч. пацієнтів у пенітенціарній системі </v>
          </cell>
          <cell r="H91" t="str">
            <v>На пацієнта в рік</v>
          </cell>
          <cell r="Q91" t="str">
            <v>Див. бюджетні розрахунки з лікування пневмоцистної пневмонії. Витрати взяті на основі лікування Тріметопрімом/Сульфаіметоксазолом приймаються двічі в день протягом 21 дня (вартість 1 табл.Тріметопріму/Сульфаіметоксазолу становить $0,05)</v>
          </cell>
        </row>
        <row r="92">
          <cell r="G92" t="str">
            <v xml:space="preserve">Забезпечення Дифлюканом нових пацієнтів на АРТ, в т.ч. пацієнтів у пенітенціарній системі </v>
          </cell>
          <cell r="H92" t="str">
            <v>На пацієнта в рік</v>
          </cell>
          <cell r="Q92" t="str">
            <v xml:space="preserve">Див. бюджетні розрахунки з лікування кандидозу. Розрахунки взяті на основі лікування Дифлюканом 100 мг протягом 7 днів. (вартість 1 капсули Дифлюкану становить $1,9) </v>
          </cell>
        </row>
        <row r="93">
          <cell r="G93" t="str">
            <v xml:space="preserve">Забезпечення Дифлюканом пацієнтів на АРТ і з серйозною хворобою, в т.ч. пацієнтів у пенітенціарній системі </v>
          </cell>
          <cell r="H93" t="str">
            <v>на пацієнта на курс</v>
          </cell>
          <cell r="Q93" t="str">
            <v xml:space="preserve">Див. бюджетні розрахунки з лікування кандидозу. Розрахунки взяті на основі лікування Дифлюканом 100 мг протягом 10 днів. (вартість 1 капсули Дифлюкану становить $1,9) </v>
          </cell>
        </row>
        <row r="94">
          <cell r="G94" t="str">
            <v>Забезпечення Міконазолу для пацієнтів на АРТ, в т.ч. пацієнтів у пенітенціарній системі</v>
          </cell>
          <cell r="H94" t="str">
            <v>На пацієнта в рік</v>
          </cell>
          <cell r="Q94" t="str">
            <v xml:space="preserve">Див. бюджетні розрахунки з лікування кандидозу. Розрахунки взяті на основі лікування Міконазолом (оральним або вагінальним) раз в день протягом 14 днів. (вартість Міконазолу становить $0,02) </v>
          </cell>
        </row>
        <row r="98">
          <cell r="G98" t="str">
            <v>Забезпечення Цефепіму для нових пацієнтів на АРТ</v>
          </cell>
          <cell r="H98" t="str">
            <v>На пацієнта в рік</v>
          </cell>
          <cell r="Q98" t="str">
            <v xml:space="preserve">Див. бюджетні розрахунки з лікування бактеріальних інфекцій. Розрахунки взяті на основі лікування Цефепімом 1,0 г двічі на день протягом 21 дня. (вартість 1 пляшечки Цефепіму становить $11,49) </v>
          </cell>
        </row>
        <row r="99">
          <cell r="G99" t="str">
            <v xml:space="preserve">Забезпечення Азитроміцину для нових пацієнтів на АРТ  </v>
          </cell>
          <cell r="H99" t="str">
            <v>На пацієнта в рік</v>
          </cell>
          <cell r="Q99" t="str">
            <v xml:space="preserve">Див. бюджетні розрахунки з лікування бактеріальних інфекцій. Розрахунки взяті на основі лікування Азитроміцином 500 мг один раз в день протягом 1 дня і 250 мг один раз в день протягом наступних 6 днів. (вартість 1 табл. Азитроміцину становить $0,95) </v>
          </cell>
        </row>
        <row r="100">
          <cell r="G100" t="str">
            <v xml:space="preserve">Забезпечення Моксіфлоксацину для нових пацієнтів на АРТ      </v>
          </cell>
          <cell r="H100" t="str">
            <v>На пацієнта в рік</v>
          </cell>
          <cell r="Q100" t="str">
            <v xml:space="preserve">Див. бюджетні розрахунки з лікування бактеріальних інфекцій. Розрахунки взяті на основі лікування Моксіфлоксасіном 0,4 г один раз в день протягом 14 днів. (вартість 1 табл. Моксіфлоксасіну становить $5) </v>
          </cell>
        </row>
        <row r="101">
          <cell r="G101" t="str">
            <v xml:space="preserve">Забезпечення Амікацину для нових пацієнтів на АРТ  </v>
          </cell>
          <cell r="H101" t="str">
            <v>На пацієнта в рік</v>
          </cell>
          <cell r="Q101" t="str">
            <v xml:space="preserve">Див. бюджетні розрахунки з лікування бактеріальних інфекцій. Розрахунки взяті на основі лікування Амікасіном 1,0 г один раз в день протягом 14 днів. (вартість 1 пляшечки Амікасіну становить $1,5) </v>
          </cell>
        </row>
        <row r="102">
          <cell r="G102" t="str">
            <v>Закупівельні накладні витрати, дистрибуція і зберігання препаратів</v>
          </cell>
          <cell r="H102" t="str">
            <v>Витрати на закупівлю (4%)</v>
          </cell>
          <cell r="Q102" t="str">
            <v>4 % накладних витрат на закупівлю і розповсюдження, на основі бюджету реалізації від 2005 р.</v>
          </cell>
        </row>
        <row r="109">
          <cell r="G109" t="str">
            <v>Підтримка робочої групи, до складу якої входять спеціалісти з ТБ/ВІЛ/наркології, представники уразливих груп і НДО, з метою розробки протоколу надання допомоги пацієнтам з ко-інфекцією</v>
          </cell>
          <cell r="H109" t="str">
            <v>Наради</v>
          </cell>
          <cell r="Q109" t="str">
            <v>1-й проект документу розробляється малою робочою групою з 10 осіб протягом 3 нарад тривалістю в один день кожна за технічної підтримки ВООЗ</v>
          </cell>
        </row>
        <row r="110">
          <cell r="G110" t="str">
            <v>Семінар з метою обговорення, перегляду і погодження протоколу</v>
          </cell>
          <cell r="H110" t="str">
            <v>Семінар</v>
          </cell>
          <cell r="Q110" t="str">
            <v xml:space="preserve">Семінар для 50 осіб на 3 дні, добові/проживання на особу на день=50 дол.США, трансфер на особу 50 дол.США, оренда обладнання і приміщення, логістика = 1000 дол.США в день </v>
          </cell>
        </row>
        <row r="111">
          <cell r="G111" t="str">
            <v xml:space="preserve">Друк і поширення матеріалів серед наркодиспансерів, тубдиспансерів і СНІД/центрів. Копії доступні для НДО та мереж </v>
          </cell>
          <cell r="H111" t="str">
            <v>Примірники документів</v>
          </cell>
          <cell r="Q111" t="str">
            <v>Друк і поширення матеріалів за 8 дол. США за копію</v>
          </cell>
        </row>
        <row r="112">
          <cell r="G112" t="str">
            <v xml:space="preserve">Проведення серії тренінгів для розширених команд з надання догляду для здійснення послуг з ТБ як супутньої інфекції ВІЛ = всього 27 тренінгів </v>
          </cell>
          <cell r="H112" t="str">
            <v>5 денні тренінги</v>
          </cell>
          <cell r="Q112" t="str">
            <v xml:space="preserve">Тренінг для обласних команд інфекціоністів, лікарів з ТБ, соціальних працівників/консультантів, кейс-менеджерів, представників НДО, там де доцільно </v>
          </cell>
        </row>
        <row r="116">
          <cell r="G116" t="str">
            <v xml:space="preserve">ОР і МОЗ оцінять готовність мережі через наявність служб з ВІЛ/СНІД/ТБ і наркології в одному районі </v>
          </cell>
          <cell r="H116" t="str">
            <v>Підтримка для місцевої мережі</v>
          </cell>
          <cell r="Q116" t="str">
            <v>Нарада робочої групи з обговорення стану готовності мережі</v>
          </cell>
        </row>
        <row r="117">
          <cell r="G117" t="str">
            <v xml:space="preserve">Мережеві провайдери і держслужбовці з пенітенціарної системи підписують угоду щодо впровадження протоколу з лікування ВІЛ-позитивних СІН з ТБ; мережевий координатор підготує проект угоди і організує її підписання   </v>
          </cell>
          <cell r="H117" t="str">
            <v>Не застосовується для цієї категорії</v>
          </cell>
          <cell r="Q117" t="str">
            <v>нарада робочої групи</v>
          </cell>
        </row>
        <row r="118">
          <cell r="G118" t="str">
            <v>Визначення і підтримка сайтів для пілотного впровадження DOTS серед ВІЛ-позитивних пацієнтів з ТБ на базі скоординованої / інтегрованої системи догляду</v>
          </cell>
          <cell r="H118" t="str">
            <v>Мережа</v>
          </cell>
          <cell r="Q118" t="str">
            <v>Покривається через зарплату мережевих координаторів</v>
          </cell>
        </row>
        <row r="119">
          <cell r="G119" t="str">
            <v>Підтримка впровадження протоколів з ВІЛ-асоційованого ТБ на базі сайтів у 100 місцевих скоординованих мережах із забезпечення догляду (в т.ч. встановлення робочих цілей, укладання угод, тощо)</v>
          </cell>
          <cell r="H119" t="str">
            <v>мережа</v>
          </cell>
          <cell r="Q119" t="str">
            <v>Покривається через зарплату мережевих координаторів</v>
          </cell>
        </row>
        <row r="123">
          <cell r="G123" t="str">
            <v xml:space="preserve">Визначення закупівельних прогнозів щодо потреб у різноманітних діагностичних наборах і розробка плану їх розподілу </v>
          </cell>
          <cell r="H123" t="str">
            <v>ОР з групою із закупівлі відповідатиме за подолання бар'єрів (технічний консультант)</v>
          </cell>
          <cell r="Q123" t="str">
            <v>нарада робочої групи</v>
          </cell>
        </row>
        <row r="124">
          <cell r="G124" t="str">
            <v>Закупівля матеріалів для діагностики ТБ (контейнери для мокроти) і їх використання для достовірного визначення активної і неактивної форми ТБ (відповідно до протоколу)</v>
          </cell>
          <cell r="H124" t="str">
            <v>на пацієнта (припускається обстеження 40% пацієнтів)</v>
          </cell>
          <cell r="Q124" t="str">
            <v>Клінічні симптоми і рентген повинні фінансуватися МОЗ / Контейнери для мокроти передбачають три пляшечки для мокротиння вартістю 0,6 дол.США на пацієнта</v>
          </cell>
        </row>
        <row r="125">
          <cell r="G125" t="str">
            <v>Закупівля контейнерів для транспортування зразків</v>
          </cell>
          <cell r="H125" t="str">
            <v>1 контейнер на 40 зразків</v>
          </cell>
          <cell r="Q125" t="str">
            <v>2 контейнери на заклад на сайт</v>
          </cell>
        </row>
        <row r="126">
          <cell r="G126" t="str">
            <v xml:space="preserve">Закупівля матеріалів для діагностики позалегеневого ТБ </v>
          </cell>
          <cell r="H126" t="str">
            <v>Тест на рік</v>
          </cell>
          <cell r="Q126" t="str">
            <v>Припущення. Вартість базується на цінах наборів для тестування 12,5 дол.США для розширення діагностування позалегеневого ТБ у ВІЛ-позитивних пацієнтів</v>
          </cell>
        </row>
        <row r="127">
          <cell r="G127" t="str">
            <v xml:space="preserve">Закупівля матеріалів для діагностики резистентності до протитуберкульозних препаратів 1-ї лінії              </v>
          </cell>
          <cell r="H127" t="str">
            <v>Тест на рік</v>
          </cell>
          <cell r="Q127" t="str">
            <v>Припущення. Вартість базується на цінах наборів для тестування 29,5 дол.США для 10% пацієнтів, які розпочинають DOTS</v>
          </cell>
        </row>
        <row r="128">
          <cell r="G128" t="str">
            <v xml:space="preserve">Закупівля гепафільтрів для обслуговування апаратів BACTEK  </v>
          </cell>
          <cell r="H128" t="str">
            <v>На машину</v>
          </cell>
          <cell r="Q128" t="str">
            <v>П'ять фільтрів длякожного апарату за 125 дол. США раз на п'ять років</v>
          </cell>
        </row>
        <row r="129">
          <cell r="G129" t="str">
            <v>Закупівельні накладні витрати, дистрибуція і зберігання препаратів</v>
          </cell>
          <cell r="H129" t="str">
            <v>Иитрати на закупівлю (4%)</v>
          </cell>
          <cell r="Q129" t="str">
            <v>На основі бюджету реалізації від 2005 р.</v>
          </cell>
        </row>
        <row r="131">
          <cell r="G131" t="str">
            <v>СНП 9: Замісна терапія</v>
          </cell>
        </row>
        <row r="137">
          <cell r="G137" t="str">
            <v xml:space="preserve">Підтримка роботи групи з координації ЗТ, надання адміністративної підтримки, секретаріату для ради експертів, тривала технічна, наукова і методична підтримка місць, де надаються послуги (сайтів) </v>
          </cell>
          <cell r="H137" t="str">
            <v>Кошти на координаційну групу</v>
          </cell>
          <cell r="Q137" t="str">
            <v>Поєднана діяльність в 1-й і 2-й роки реалізації 1-го раунду ГФСТМ; Керівник проекту 1500 дол.США/місяць, координатори: з інтеграції, регіонального, операційного дослідження 800 дол.США/місяць, бухгалтер 400 дол.США/місяць, секретар 300 дол.США/місяць, мен</v>
          </cell>
        </row>
        <row r="138">
          <cell r="G138" t="str">
            <v xml:space="preserve">Зовнішня технічна підтримка, спрямована на розвиток і реалізацію стратегії замісної терапії та плану впровадження           </v>
          </cell>
          <cell r="H138" t="str">
            <v>Одноразова сума на рік</v>
          </cell>
          <cell r="Q138" t="str">
            <v>Передбачає 5000 на трансфер і 5000 для консультування на сайтах (50 днів*100 дол.США)</v>
          </cell>
        </row>
        <row r="139">
          <cell r="G139" t="str">
            <v>Підтримка діяльності експертної ради із замісної терапії, регулярні щомісячні зустрічі</v>
          </cell>
          <cell r="H139" t="str">
            <v>Гонорар для експерта</v>
          </cell>
          <cell r="Q139" t="str">
            <v xml:space="preserve">Поєднана діяльність в 1-й і 2-й роки реалізації 1-го раунду ГФСТМ; Гонорар на одного експерта в рік 100* 20 дол.США/год плюс 35% податків                            </v>
          </cell>
        </row>
        <row r="140">
          <cell r="G140" t="str">
            <v xml:space="preserve">Посилення потенціалу діючого Українського ресурсного центру із замісної терапії для вирішення питань, пов'язаних з інтегрованими службами з ВІЛ/ТБ/ЗТ                </v>
          </cell>
          <cell r="H140" t="str">
            <v>Одноразова підтримка</v>
          </cell>
          <cell r="Q140" t="str">
            <v>3 комп'ютери, література, розробка інформаційних і тренінгових матеріалів</v>
          </cell>
        </row>
        <row r="141">
          <cell r="G141" t="str">
            <v xml:space="preserve">Надання підтримки для функціонування Українського ресурсного центру із замісної терапії (2009 р.)                   </v>
          </cell>
          <cell r="H141" t="str">
            <v>Одноразова сума на рік</v>
          </cell>
          <cell r="Q141" t="str">
            <v xml:space="preserve">Комунікації, веб-сторінка, офісні матеріали, публікації, оренда приміщення (витрати на персонал покриваються за рахунок координаційної групи) </v>
          </cell>
        </row>
        <row r="142">
          <cell r="G142" t="str">
            <v>Ведення бази даних сайтів, що надають ЗПТ, щомісячний збір даних про виконання індикаторів</v>
          </cell>
        </row>
        <row r="143">
          <cell r="G143" t="str">
            <v>Організаційно-методична, технічна підтримка впровадження ЗПТ в Україні та підтримка Українського ресурсного центру (залучення українських та міжнародних експертів, візити експертів до регіонів тощо)</v>
          </cell>
          <cell r="Q143" t="str">
            <v>Витрати на підтримку персоналу та організаційну підтримку Українського ресурсного центру ЗПТ. Прогнозовані витрати надані у листі SDA9_Assumptions. Очікується, що сума не буде змінюватись з року в рік.</v>
          </cell>
        </row>
        <row r="144">
          <cell r="G144" t="str">
            <v xml:space="preserve"> Обмін  знаннями та досвідом (участь в конференціях - національних та міжнародних - представлення досвіду із розвитку ЗПТ), моніторингові візити до регіонів, що впроваджують ЗПТ</v>
          </cell>
          <cell r="H144" t="str">
            <v xml:space="preserve">  Сума необхідна для обміну досвідом на національному і міжнародному рівні на рік                          </v>
          </cell>
          <cell r="Q144" t="str">
            <v>Участь у міжнарожних та національних конференціях, моніторингових візитах</v>
          </cell>
        </row>
        <row r="145">
          <cell r="G145" t="str">
            <v>Проведення щорічної конференції з ЗТ</v>
          </cell>
          <cell r="H145" t="str">
            <v xml:space="preserve"> Витрати, необхідні для організації конференції </v>
          </cell>
          <cell r="Q145" t="str">
            <v>Витрати на оренду приміщення, логістичні послуги, транспортування та добові для учасників та гостей конференції. Вартість може змінюватись залежно від зовнішньої економічної ситуації.</v>
          </cell>
        </row>
        <row r="146">
          <cell r="G146" t="str">
            <v xml:space="preserve">Регулярний перегляд національного протоколу із застосування замісної терапії                   </v>
          </cell>
          <cell r="H146" t="str">
            <v>Переглянуті протоколи</v>
          </cell>
          <cell r="Q146" t="str">
            <v>Фінансується в рамках діяльності координаційної групи і ради експертів</v>
          </cell>
        </row>
        <row r="147">
          <cell r="G147" t="str">
            <v xml:space="preserve">Удосконалення законодавства і нормативної бази для надання ЗТ, обігу наркотичних засобів у співпраці з МОЗ, та іншими відповідними державними структурами, перегляд та оновлення методичних рекомендацій щодо організації ЗПТ
</v>
          </cell>
          <cell r="H147" t="str">
            <v xml:space="preserve"> Сума грошових коштів за рік, необхідних для забезпечення вдосконалення законодавства та нормативно-правової бази для надання ЗТ</v>
          </cell>
          <cell r="Q147" t="str">
            <v>Cкладається з гонорарів експертів, залучених до розробки методологічних керівництв та регуляторних документів (2 експерти*120днів*67,7доларів за день)</v>
          </cell>
        </row>
        <row r="148">
          <cell r="G148" t="str">
            <v xml:space="preserve">Внесок персоналу ОР у реалізацію компонента: технічна підтримка, документація, поширення, розробка стандартного інструментарію, форматів та документів для планування програм, їх реалізації, моніторингу та звітності.  </v>
          </cell>
          <cell r="H148" t="str">
            <v xml:space="preserve">Оскільки рівень задіяності персоналу  з часом змінюється, неможливо застосувати єдину одиничну вартість для цієї бюджетної статті. Для більш детальної інформації див. відповідний розрахунок одиничної вартості, тощо </v>
          </cell>
          <cell r="Q148" t="str">
            <v xml:space="preserve">Оскільки рівень задіяності персоналу  з часом змінюється, неможливо застосувати єдину одиничну вартість для цієї бюджетної статті. Для більш детальної інформації див. відповідний розрахунок одиничної вартості, тощо. </v>
          </cell>
        </row>
        <row r="149">
          <cell r="G149" t="str">
            <v>Внесок персоналу ОР у реалізацію компонента</v>
          </cell>
          <cell r="H149" t="str">
            <v>Витрати на персонал ОР, що працюює над здійсненням пргограми ЗТ на рік</v>
          </cell>
          <cell r="Q149" t="str">
            <v>Оскільки рівень задіяності персоналу  з часом змінюється, неможливо застосувати єдину одиничну вартість для цієї бюджетної статті. Для більш детальної інформації див. відповідний розрахунок одиничної вартості</v>
          </cell>
        </row>
        <row r="150">
          <cell r="G150" t="str">
            <v>Загалом за напрямком діяльності 9.1</v>
          </cell>
        </row>
        <row r="154">
          <cell r="G154" t="str">
            <v xml:space="preserve">Закупівля ЗТ препартів </v>
          </cell>
          <cell r="H154" t="str">
            <v>Обслужені пацієнти</v>
          </cell>
          <cell r="Q154" t="str">
            <v>закладено нижче</v>
          </cell>
        </row>
        <row r="155">
          <cell r="G155" t="str">
            <v xml:space="preserve">Кільікість місячних курсів медичної та психо-соціальної підтримки пацієнтів ЗТ
</v>
          </cell>
          <cell r="H155" t="str">
            <v xml:space="preserve">Вартість МПСС на одного нового пацієнта на місяць </v>
          </cell>
          <cell r="Q155" t="str">
            <v>Розрахунки зроблені з урахуванням темпів набору пацієнтів. Вважається, що супровід пацієнтів, що вже отримують ЗПТ протягом тривалого часу, коштує дешевше, ніж супровіж пацієнта, що щойно розпочинає ЗПТ. До вартості включено оплату праці мультдисциплінарн</v>
          </cell>
        </row>
        <row r="156">
          <cell r="H156" t="str">
            <v>Вартість МПСС на одного пацієнта, що вже отримує ЗПТ, на місяць</v>
          </cell>
        </row>
        <row r="157">
          <cell r="G157" t="str">
            <v>Зарплата працівників мультидисциплінарних команд у 30 проектних місцях, де надаються послуги (сайтах)</v>
          </cell>
          <cell r="H157" t="str">
            <v>Кошти на персонал на сайт (місце, де надаються полсуги) на рік Кошти на обслуговування пацієнта на сайті</v>
          </cell>
          <cell r="Q157" t="str">
            <v>Місячні зарплати на основі плану реалізації від 2005 р., див. бюджетні розрахунки (0.5 FTE*2 нарколога 300 дол.США, 0.1 інфекціоніст * 300 дол.США, 2 медсестри * 150 дол.США, 1 кейс-менеджер * 200 дол.США, 1 консультант "рівний рівному" *200 дол.США, 1 ко</v>
          </cell>
        </row>
        <row r="158">
          <cell r="G158" t="str">
            <v>Забезпечення предметами вжитку і підтримка функціонування інфраструктури</v>
          </cell>
          <cell r="H158" t="str">
            <v>Кошти на сайт (місце, де надаються полсуги) на рік</v>
          </cell>
          <cell r="Q158" t="str">
            <v>На основі звіту про реалізацію від 2005 р., див. детальні бюджетні розрахунки (в т.ч. матеріали для клінік і офісу)</v>
          </cell>
        </row>
        <row r="159">
          <cell r="G159" t="str">
            <v xml:space="preserve">Семінари з обміну досвідом для існуючих МДК </v>
          </cell>
          <cell r="H159" t="str">
            <v xml:space="preserve"> Витрати, необхідні для організації одного 2-денного семінару для 25 членів МДК</v>
          </cell>
          <cell r="Q159" t="str">
            <v>2-денні семінари з підвищення кваліфікації для членів МДК, які працюють (проїзд 25Х60+проживання 25Х45 1 ніч + харчування 30Х40Х2дні + оренда 145Х2дні + матеріали 29Х3 + гонорари тренерів 100Х2+логістика 10%)</v>
          </cell>
        </row>
        <row r="160">
          <cell r="G160" t="str">
            <v>Забезпечення продовженого навчання для персоналу сайтів із замісної терапії (керівників УОЗ, головних лікарів)</v>
          </cell>
          <cell r="H160" t="str">
            <v>Тренінги</v>
          </cell>
          <cell r="Q160" t="str">
            <v xml:space="preserve">35 учасників: транспортні витрати 40 дол.США, проживання 35 * 2 ночей, харчування 30 дол.США *2 дні, обладнання 200, роздаткові матеріали 150, оренда 400, гонорар тренера 200 </v>
          </cell>
        </row>
        <row r="161">
          <cell r="G161" t="str">
            <v>Загалом за напрямком діяльності 9.2</v>
          </cell>
        </row>
        <row r="164">
          <cell r="G164" t="str">
            <v>Створення і підтримка мультидисциплінарних команд у проектних сайтах (місце, де надаються полсуги)</v>
          </cell>
          <cell r="H164" t="str">
            <v xml:space="preserve">Кошти на персонал на сайт (місце, де надаються полсуги) на рік </v>
          </cell>
          <cell r="Q164" t="str">
            <v>Місячні зарплати на основі плану реалізації від 2005 р., див. бюджетні розрахунки (0.5 FTE*2 нарколога 300 дол.США, 0.1 інфекціоніст * 300 дол.США, 2 медсестри * 150 дол.США, 1 кейс-менеджер * 200 дол.США, 1 консультант "рівний рівному" *200 дол.США, 1 ко</v>
          </cell>
        </row>
        <row r="165">
          <cell r="G165" t="str">
            <v>Підтримка підготовки сайту (місце, де надаються полсуги)</v>
          </cell>
          <cell r="H165" t="str">
            <v>Одноразова сума на сайт (місце, де надаються полсуги)</v>
          </cell>
          <cell r="Q165" t="str">
            <v>Ремонт приміщення, обладнання засобами безпеки</v>
          </cell>
        </row>
        <row r="166">
          <cell r="G166" t="str">
            <v xml:space="preserve">Технічна підтримка (ТП) закладів охорони здоров'я - надавачів послуг з ЗТ (реконструкція та оснащення ЛПУ для того, щоб виконати технічні вимоги та отримати ліцензію на обіг наркотичних засобів) 
</v>
          </cell>
          <cell r="H166" t="str">
            <v>Одноразові витрати - це вартість гранту, який має бути виділений на 1 сайт.</v>
          </cell>
          <cell r="Q166" t="str">
            <v>Середня сума гранту ТП визначена, базуючись на досвіді надання грантів ТП ЗТ протягом програми 1 Раунду. Реалістична вартість грантів ТП може відрізнятись залежно від потреб кожного грантера. Персонал ОР застосовуватиме підходи до грантування відповідно д</v>
          </cell>
        </row>
        <row r="167">
          <cell r="G167" t="str">
            <v>Публікація успішних життєвих історій пацієнтів ЗТ</v>
          </cell>
          <cell r="H167" t="str">
            <v>Кошти на один примірник</v>
          </cell>
          <cell r="Q167" t="str">
            <v>Розрахунок на розробку та друк одного примірника зроблено з урахуванням подібних витрат, що були зроблені протягом програми 1 Раунду</v>
          </cell>
        </row>
        <row r="168">
          <cell r="G168" t="str">
            <v>Забезпечення предметами вжитку і підтримка функціонування інфраструктури</v>
          </cell>
          <cell r="H168" t="str">
            <v>Кошти на сайт (місце, де надаються полсуги) на рік</v>
          </cell>
          <cell r="Q168" t="str">
            <v>На основі звіту про реалізацію від 2005 р., див. детальні бюджетні розрахунки (в т.ч. матеріали для клінік і офісу)</v>
          </cell>
        </row>
        <row r="169">
          <cell r="G169" t="str">
            <v>Початковий тренінг для персоналу нових сайтів (місце, де надаються полсуги)</v>
          </cell>
          <cell r="H169" t="str">
            <v>Тренінги</v>
          </cell>
          <cell r="Q169" t="str">
            <v>20 учасників: транспортні витрати 40 дол.США, проживання 20 дол.США * 3 ночі, харчування 30 дол.США * 3 дні, обладнання 300 дол.США, роздаткові матеріали 300 дол.США,  оренда 600 дол.США, гонорар тренера 300 дол.США</v>
          </cell>
        </row>
        <row r="170">
          <cell r="G170" t="str">
            <v>Координація тренінгової активності, визначення потреб та плану тренінгів</v>
          </cell>
          <cell r="Q170" t="str">
            <v>Витрати на адміністративний персонал організатора тренінгів, нарахування на ЗП, витрати на утримання офісу.</v>
          </cell>
        </row>
        <row r="171">
          <cell r="G171" t="str">
            <v>Тренінгова підготовка для новостворених МДК</v>
          </cell>
          <cell r="H171" t="str">
            <v>Кошти необхідні для організації 3-денного тренінгу для 25 членів МДК</v>
          </cell>
          <cell r="Q171" t="str">
            <v>Базові тренінги для персоналу нових МДК (проїзд 25Х60 + проживання 25Х45Х2 ночі + харчування 30Х40Х2,5 дні + оренда 145Х3 дні + матеріали 29Х3 + гонорари тренерів 3Х65 + логістика 10%)</v>
          </cell>
        </row>
        <row r="172">
          <cell r="G172" t="str">
            <v xml:space="preserve">
 Публікації для членів МДК, які беруть участь у тренінгах
 (Керівництво із ЗПТ, нинішній стан ЗТ, голоси виконуючих сторін та пацієнтівЗТ)</v>
          </cell>
          <cell r="H172" t="str">
            <v xml:space="preserve"> Одиничні витрати на кожен вид матеріалів різні </v>
          </cell>
          <cell r="Q172" t="str">
            <v>Розрахунок на розробку та друк одного примірника зроблено з урахуванням подібних витрат, що були зроблені протягом програми 1 Раунду</v>
          </cell>
        </row>
        <row r="173">
          <cell r="G173" t="str">
            <v xml:space="preserve"> Публікація, яка підсумовує досвід  реалізації ЗТ за понад 5 -річній період</v>
          </cell>
          <cell r="H173" t="str">
            <v xml:space="preserve">  Кошти на один примірник</v>
          </cell>
          <cell r="Q173" t="str">
            <v>Розрахунок на розробку та друк одного примірника зроблено з урахуванням подібних витрат, що були зроблені протягом програми 1 Раунду</v>
          </cell>
        </row>
        <row r="174">
          <cell r="G174" t="str">
            <v xml:space="preserve">Забезпечення продовженого навчання для персоналу сайтів </v>
          </cell>
          <cell r="H174" t="str">
            <v>Тренінги</v>
          </cell>
          <cell r="Q174" t="str">
            <v xml:space="preserve">35 учасників: транспортні витрати 40 дол.США, проживання 35 * 2 ночей, харчування 30 дол.США *2 дні, обладнання 200, роздаткові матеріали 150, оренда 400, гонорар тренера 200 </v>
          </cell>
        </row>
        <row r="175">
          <cell r="G175" t="str">
            <v>Загалом за напрямком діяльності 9.3</v>
          </cell>
        </row>
        <row r="178">
          <cell r="G178" t="str">
            <v xml:space="preserve">Розробка і прийняття національних стандартів всебічного інтегровагого догляду для СІН </v>
          </cell>
          <cell r="H178" t="str">
            <v>Витрати на перегляді і переклад</v>
          </cell>
          <cell r="Q178" t="str">
            <v>25 сторінок * 10 дол.США, 100 для редагування, 2 дні міжнародний експерт за 300 в день, друк 500 примірників за 8 дол.США</v>
          </cell>
        </row>
        <row r="179">
          <cell r="G179" t="str">
            <v>Ремонт / підготовка приміщень сайтів (місце, де надаються полсуги)</v>
          </cell>
          <cell r="H179" t="str">
            <v>Одноразова сума на сайт</v>
          </cell>
          <cell r="Q179" t="str">
            <v>Ремонт приміщення, обладнання засобами безпеки</v>
          </cell>
        </row>
        <row r="180">
          <cell r="G180" t="str">
            <v>Зарплата працівників мультидисциплінарних команд у проектних сайтах (місце, де надаються полсуги)</v>
          </cell>
          <cell r="H180" t="str">
            <v>Кошти на персонал на сайт на рік</v>
          </cell>
          <cell r="Q180" t="str">
            <v>Місячні зарплати (0.5 FTE*2 нарколога 300 дол.США, 0.2 інфекціоніст * 300 дол.США, 2 медсестри * 150 дол.США, 3 кейс-менеджери * 200 дол.США, 1 консультант "рівний рівному" *200 дол.США, 1 координатор * 250 дол.США, бухгалтер 0.3 * 250 дол.США+ податки 35</v>
          </cell>
        </row>
        <row r="181">
          <cell r="G181" t="str">
            <v xml:space="preserve">Кільікість місячних курсів медичної та психо-соціальної підтримки пацієнтів, що отримують інтегровані послуги
</v>
          </cell>
          <cell r="H181" t="str">
            <v>Кошти на супровід на місяць</v>
          </cell>
          <cell r="Q181" t="str">
            <v>До вартості включено оплату праці мультдисциплінарної команди та адміністративні витрати виконавців діяльності з супроводу. Детальний розрахунок див. у див. у вкладеному листі MPSS Calc_YR_3-5_Mar 26, 2009</v>
          </cell>
        </row>
        <row r="182">
          <cell r="G182" t="str">
            <v xml:space="preserve">Надання технічної допомоги шляхом проведення тренінгів на базі сайтів і здійснення менторінгу </v>
          </cell>
          <cell r="H182" t="str">
            <v xml:space="preserve">Підтримка на сайт на рік </v>
          </cell>
          <cell r="Q182" t="str">
            <v xml:space="preserve">На сайт 2 візити в рік * 2 дні міжнародні експерти (300 дол.США/день) плюс трансфер (500) </v>
          </cell>
        </row>
        <row r="183">
          <cell r="G183" t="str">
            <v xml:space="preserve">Надання технічної допомоги шляхом проведення тренінгів на базі сайтів і здійснення менторінгу </v>
          </cell>
          <cell r="H183" t="str">
            <v xml:space="preserve">Підтримка на сайт на рік </v>
          </cell>
          <cell r="Q183" t="str">
            <v xml:space="preserve">На сайт 2 візити в рік * 2 дні, міжнародні експерти (300 дол.США/день) плюс трансфер (500) </v>
          </cell>
        </row>
        <row r="184">
          <cell r="G184" t="str">
            <v>Створення мобільних медичних клінік у 5 Центрах інтегрованих послуг для кращого досягнення клієнтів</v>
          </cell>
          <cell r="H184" t="str">
            <v>На сайт (місце, де надаються послуги)</v>
          </cell>
          <cell r="Q184" t="str">
            <v xml:space="preserve">Закупівля мініавтобусів для 5 центрів інтегрованих послуг </v>
          </cell>
        </row>
        <row r="185">
          <cell r="G185" t="str">
            <v xml:space="preserve">Обслуговування мобільних медичних клінік у 5 Центрах </v>
          </cell>
          <cell r="H185" t="str">
            <v xml:space="preserve">На автомобіль </v>
          </cell>
          <cell r="Q185" t="str">
            <v xml:space="preserve">Бензин 300 дол.США, водій 200 дол.США в місяць, оподаткування 35%, ремонт 1000 дол.США в рік  </v>
          </cell>
        </row>
        <row r="186">
          <cell r="G186" t="str">
            <v xml:space="preserve">Періодичні кошти на обладнання в рамках пакету зменшення шкоди і догляду для клієнтів (включно з коштами на проїзд)                          </v>
          </cell>
          <cell r="H186" t="str">
            <v>На сайт (місце, де надаються послуги)</v>
          </cell>
          <cell r="Q186" t="str">
            <v>1900 (10000 шприців * 0.05 дол.США; 10000 презервативів * 0.02 дол.США; дезинфектант; 600 дол.США на транспортні витрати для клієнтів, пластикові чашки та інші предмети вжитку 300 дол.США)</v>
          </cell>
        </row>
        <row r="187">
          <cell r="G187" t="str">
            <v>Операційне дослідження і порівняльний аналіз</v>
          </cell>
          <cell r="H187" t="str">
            <v>Одноразова сума на рік</v>
          </cell>
          <cell r="Q187" t="str">
            <v xml:space="preserve">Порівняльний аналіз, екномічна ефективність, ситуація щодо вживання препаратів, специфічні потреби регіонів, програми ЗТ, оцінка (міжнародний експерт (10 днів за 300), відрядження у сайти (5000 дол.США), місцеві команди з дослідження (6000 дол.США) </v>
          </cell>
        </row>
        <row r="188">
          <cell r="G188" t="str">
            <v>Операційне дослідження і порівняльний аналіз</v>
          </cell>
          <cell r="H188" t="str">
            <v>Одноразова сума на рік</v>
          </cell>
          <cell r="Q188" t="str">
            <v xml:space="preserve">Порівняльний аналіз, екномічна ефективність, ситуація щодо вживання препаратів, специфічні потреби регіонів, програми ЗТ, оцінка (міжнародний експерт (10 днів за 300), відрядження у сайти (5000 дол.США), місцеві команди з дослідження (6000 дол.США) </v>
          </cell>
        </row>
        <row r="189">
          <cell r="G189" t="str">
            <v>Загалом за напрямком діяльності 9.4</v>
          </cell>
        </row>
        <row r="192">
          <cell r="G192" t="str">
            <v xml:space="preserve">Підтримка існуючої реабілітаційної програми звільнення від наркотичної залежності у 2 сайтах, що передбачає до 200 реабілітаційних місць на сайт в рік                       </v>
          </cell>
          <cell r="H192" t="str">
            <v>Епізод з лікуванням</v>
          </cell>
          <cell r="Q192" t="str">
            <v xml:space="preserve">На основі розрахунків 2006 р. щодо тривалості лікування в один місяць (транспортні витрати 60, проживання 80, харчування 180, персонал 180) </v>
          </cell>
        </row>
        <row r="193">
          <cell r="G193" t="str">
            <v>Загалом за напрямком діяльності 9.5</v>
          </cell>
        </row>
        <row r="196">
          <cell r="G196" t="str">
            <v xml:space="preserve">Надання ЗТ під час курсу лікування від ТБ (6 місяців) і подальша переадресація клієнта до програми із ЗТ після курсу лікування                         </v>
          </cell>
          <cell r="H196" t="str">
            <v>Обслужені пацієнти</v>
          </cell>
          <cell r="Q196" t="str">
            <v>В середньому 6 місяців на клієнта, потім перевід на інший курс, препарати закладено в рамках загального бюджету на закупівлю ЗТ, інші препарати забезпечує держава через установи для лікування ТБ</v>
          </cell>
        </row>
        <row r="197">
          <cell r="G197" t="str">
            <v xml:space="preserve">Створення спільної групи, до складу якої входитимуть експерти з ТБ, лікарі із ЗТ, представники ЛЖВС, з метою дослідження особливостей ліцензування вибіркових ТБ-клінік щодо застосування наркотичних препаратів / ЗТ                             </v>
          </cell>
          <cell r="H197" t="str">
            <v>Наради експертної групи в т.ч. регіони</v>
          </cell>
          <cell r="Q197" t="str">
            <v xml:space="preserve">3 представника від кожного з 6 регіонів, 2 дні нарад, трансфер для 15 осіб (3000 дол.США), добові і гонорар(15*250 дол.США= 3750  дол.США) + 1000 поточних витрат </v>
          </cell>
        </row>
        <row r="198">
          <cell r="G198" t="str">
            <v xml:space="preserve">Розробка посібника з тренінгів і практичної роботи, а також мінімальних стандартів для персоналу ТБ-клінік, включно з вимогами зберігання і безпеки                             </v>
          </cell>
          <cell r="H198" t="str">
            <v xml:space="preserve">Одноразова сума </v>
          </cell>
          <cell r="Q198" t="str">
            <v>4 дні міжнародної допомоги * 300  дол.США, 15 днів місцевої допомоги * 100  дол.США, друк 1500 дол.США</v>
          </cell>
        </row>
        <row r="199">
          <cell r="G199" t="str">
            <v xml:space="preserve">Фізичне оснащення 6 ТБ-клінік для відповідності вимогам щодо ліцензування обігу наркотичних препаратів             </v>
          </cell>
          <cell r="H199" t="str">
            <v xml:space="preserve">Одноразова сума </v>
          </cell>
          <cell r="Q199" t="str">
            <v>Ремонт приміщення і підтримка в отриманні ліцензій</v>
          </cell>
        </row>
        <row r="200">
          <cell r="G200" t="str">
            <v xml:space="preserve">Забезпечення тренінгу для персоналу відібраних ТБ-клінік                 </v>
          </cell>
          <cell r="H200" t="str">
            <v>На тренінг</v>
          </cell>
          <cell r="Q200" t="str">
            <v>3 представника від кожного з 6 центрів, 4 дні нарад, трансфер для учасників (16*200 дол.США), проживання (17*500 дол.США) + міжнародний тренер 350 дол.США * 4 дні плюс 1500 дол.США трансфер і 1 тренер 200 дол.США * 4 дні, переклад (4*300 дол.США) + 1000 д</v>
          </cell>
        </row>
        <row r="201">
          <cell r="G201" t="str">
            <v xml:space="preserve">Набір додаткового персоналу для мультидисциплінарних команд з метою ефективного обслуговування клієнтів на ЗТ у медичних закладах з ТБ                 </v>
          </cell>
          <cell r="H201" t="str">
            <v>Кошти на персонал на сайт на рік</v>
          </cell>
          <cell r="Q201" t="str">
            <v>Лікар-нарколог (300 дол.США/місяць, 0.5 FTE, 35% податки) медсестра фінансується з коштів на звичайний персонал</v>
          </cell>
        </row>
        <row r="202">
          <cell r="G202" t="str">
            <v xml:space="preserve">Забезпечення технічної допомоги через здійснення менторінгу у сайтах, координація з технічним консультантом для забезпечення всебічного догляду у сайтах для СІН  </v>
          </cell>
          <cell r="H202" t="str">
            <v>Візит технічного консультанта на сайт</v>
          </cell>
          <cell r="Q202" t="str">
            <v>1 день консультування і спільний бюджет на трансфер</v>
          </cell>
        </row>
        <row r="203">
          <cell r="G203" t="str">
            <v>Менторингові візити нарколога</v>
          </cell>
          <cell r="Q203" t="str">
            <v>За консультацію лікаря-нарколога у ТБ клініках, що проводять ЗТ, 1 раз на 2 тижні, всього 390 консультації, по 50  дол. США</v>
          </cell>
        </row>
        <row r="204">
          <cell r="G204" t="str">
            <v>Загалом за напрямком діяльності 9.6</v>
          </cell>
        </row>
        <row r="207">
          <cell r="G207" t="str">
            <v>Закупівля ЗТ-препаратів (на кінець року)</v>
          </cell>
          <cell r="H207" t="str">
            <v>Обслужені пацієнти</v>
          </cell>
          <cell r="Q207" t="str">
            <v xml:space="preserve">Див. окрему таблицю в детальних бюджетних розрахунках, 5 % накладних витрат на закупівлю і розповсюдження </v>
          </cell>
        </row>
        <row r="208">
          <cell r="G208" t="str">
            <v>Закупівля препаратів для психіатричної допомоги (Сетралін)</v>
          </cell>
          <cell r="H208" t="str">
            <v>Обслужені пацієнти</v>
          </cell>
          <cell r="Q208" t="str">
            <v>80 пацієнтів у двох сайтах, 40 в кожному, з курсом лікування 3 місяці</v>
          </cell>
        </row>
        <row r="209">
          <cell r="G209" t="str">
            <v xml:space="preserve">  Закупівля бупренорфіну, необхідного для підтримки 800 пацієнтів, які отримують ЗТ у відповідності з діючими та майбутніми Наказами МОЗ</v>
          </cell>
          <cell r="H209" t="str">
            <v xml:space="preserve"> Ціна місячного курсу (бупренорфін необхідний для забезпечення 1 пацієнта ЗТ на 1 місяць ) </v>
          </cell>
          <cell r="Q209" t="str">
            <v xml:space="preserve">Price for monthly course is taken from the most recent Rd 1 buprenorphine purchase contract .It may vary depending on the mean daily dose, suppliers' prices negotiated in the course of tenders Prognostic calculations are provided in the Assumptions Sheet </v>
          </cell>
        </row>
        <row r="210">
          <cell r="G210" t="str">
            <v xml:space="preserve">  Логістика дистрибуції бупренорфіну 
</v>
          </cell>
          <cell r="H210" t="str">
            <v xml:space="preserve">  Сума на покриття одного року логістичного договору (-ів) для прийому бупренорфіну, контролю якості, зберігання і розподілу</v>
          </cell>
          <cell r="Q210" t="str">
            <v xml:space="preserve">Calculations for buprenorphine logistics rely on expenditures made for this end in Rd 1 Program. Significant reduction of funds is stipulated from one programmatic year to another. Prognostic figures reflecting  funds needed (by batches and by years )are </v>
          </cell>
        </row>
        <row r="211">
          <cell r="G211" t="str">
            <v xml:space="preserve">  Закупівля метадону, необхідного для забезпечення поступового розширення ЗТ у відповідності із програмними завданнями ЗТ протягом років 3, 4, 5.
</v>
          </cell>
          <cell r="H211" t="str">
            <v xml:space="preserve">  Вартість місячного курсу (метадон необхідний для забезпечення 1пацієна ЗТ  протягом 1 місяця)</v>
          </cell>
          <cell r="Q211" t="str">
            <v>Price for monthly course of methadone in the Batch #3 is taken from the most recent Rd 1 methadone purchase contract . Its envisaged and presented, that unit costs for consequtive batches covering programmatic Yr 4 &amp; Yr 5 will be reduced.  Prognostic calc</v>
          </cell>
        </row>
        <row r="212">
          <cell r="G212" t="str">
            <v>Логістика дистрибуції метадону</v>
          </cell>
          <cell r="H212" t="str">
            <v>Сума на покриття одного року логістичного договору (-ів) для прийому бупренорфіну, контролю якості, зберігання і розподілу</v>
          </cell>
          <cell r="Q212" t="str">
            <v>Calculations for methadone logistics rely on expenditures made for this end in Rd 1 Program. Significant reduction of funds is stipulated from one programmatic year to another. Prognostic figures reflecting  funds needed (by batches and by years ) are sho</v>
          </cell>
        </row>
        <row r="213">
          <cell r="G213" t="str">
            <v>Загалом за напрямком діяльності 9.7</v>
          </cell>
        </row>
        <row r="216">
          <cell r="G216" t="str">
            <v>Моніторинг</v>
          </cell>
          <cell r="H216" t="str">
            <v>Візити</v>
          </cell>
          <cell r="Q216" t="str">
            <v>Передбачається один день візиту технічного консультанта на особу: трансфер 50 дол.США на особу, добові 50 дол.США на особу, проживання 60 дол.США на особу в день = 160 дол.США на особу. Необхідно один день і двоє осіб для здійснення візиту в одну організа</v>
          </cell>
        </row>
        <row r="217">
          <cell r="G217" t="str">
            <v xml:space="preserve">Клінічний моніторинг стану ЗТ
</v>
          </cell>
          <cell r="H217" t="str">
            <v xml:space="preserve">Сума грошей на рік, достатня для забезпечення здійснення клінічного моніторингу ЗТ </v>
          </cell>
          <cell r="Q217" t="str">
            <v>Включає оплату праці  фахівців організації, що організовуватиме клінічний моніторинг, гонорари та витрати на проїзд консультантів, що надаватимуть консультації з питань надання ЗПТ на місцях. Детальний розрахунок див. у вкладеному листі MPSS Calc_YR_3-5_M</v>
          </cell>
        </row>
        <row r="218">
          <cell r="G218" t="str">
            <v xml:space="preserve"> Створення, обслуговування і підтримка  Реєстру пацієнтів ЗТ.</v>
          </cell>
          <cell r="H218" t="str">
            <v>Одноразова сума на рік, необхідна для розробки та підтримки Реєстру пацієнтів ЗТ</v>
          </cell>
          <cell r="Q218" t="str">
            <v>Передбачається підтримка персоналу моніторингового центру (7 осіб + 6 осіб в регіонах), проведення 4 тренінгів з роботи реєстру (12 чол*1 день*1 раз в квартал), витрати на підтримку інфраструктури моніторингового центру й шести регіональних осередків та т</v>
          </cell>
        </row>
        <row r="219">
          <cell r="G219" t="str">
            <v>Діяльність з моніторингу складських запасів наркотичних засобів ЗТ -  бупренорфіну і метадону.</v>
          </cell>
          <cell r="Q219" t="str">
            <v>Передбачається підтримка персоналу моніторингового центру (3 особи + 6 осіб в регіонах), відрядження в 6 ресурсних центрів для моніторингу роботи по залишкам препаратів(1 відрядження на рік у кожний регіон)</v>
          </cell>
        </row>
        <row r="220">
          <cell r="G220" t="str">
            <v xml:space="preserve">Дослідженя моніторингу ефективності ЗПТ
</v>
          </cell>
          <cell r="H220" t="str">
            <v xml:space="preserve">   Кошти необхідні для виконання однорічного дослідження</v>
          </cell>
          <cell r="Q220" t="str">
            <v>Витрати на оплату послуг організатора дослідження, оплату праці дослідників та інтерв'юєрів в шести регіонах, залучення міжнародних експертів, щорічний друк звіту про дослідження (1000 примірників)</v>
          </cell>
        </row>
        <row r="221">
          <cell r="G221" t="str">
            <v>Загалом за напрямком діяльності 9.8</v>
          </cell>
        </row>
        <row r="222">
          <cell r="G222" t="str">
            <v>Допомога в розробці регіляторних актів місцевого рівня</v>
          </cell>
          <cell r="H222" t="str">
            <v>Гонорар для експерта</v>
          </cell>
        </row>
        <row r="223">
          <cell r="G223" t="str">
            <v>Тренінги для персоналу обласних та районних УОЗ, обласних наркологів, інфекціоністів, фтизіатрів.</v>
          </cell>
          <cell r="H223" t="str">
            <v>Кількість тренінгів</v>
          </cell>
          <cell r="Q223" t="str">
            <v>Передбачається проведення тренінгів для державних службовців з метою ознайомлення із практикою застосування ЗТ в світі, переваг ЗТ для пацієнта і суспільства, економічної доцільності ЗТ.</v>
          </cell>
        </row>
        <row r="224">
          <cell r="G224" t="str">
            <v>Загальний бюджет SDA 9</v>
          </cell>
        </row>
      </sheetData>
      <sheetData sheetId="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9-EFR"/>
      <sheetName val="Q19-GRA"/>
      <sheetName val="Gra-pro rata"/>
      <sheetName val="Gra-Sub"/>
      <sheetName val="Q19-TL-base"/>
      <sheetName val="Q19-Sal-cal"/>
      <sheetName val="Salaries-Q19"/>
      <sheetName val="Бюджет до підпису"/>
      <sheetName val="Детал. розрахунок"/>
      <sheetName val="фін_звіт до підпису"/>
      <sheetName val="звіт детальний"/>
    </sheetNames>
    <sheetDataSet>
      <sheetData sheetId="0" refreshError="1">
        <row r="2430">
          <cell r="B2430" t="str">
            <v>Human Resources</v>
          </cell>
        </row>
        <row r="2431">
          <cell r="B2431" t="str">
            <v>Technical Assistance</v>
          </cell>
        </row>
        <row r="2432">
          <cell r="B2432" t="str">
            <v>Training</v>
          </cell>
        </row>
        <row r="2433">
          <cell r="B2433" t="str">
            <v>Health products and Health equipment</v>
          </cell>
        </row>
        <row r="2434">
          <cell r="B2434" t="str">
            <v>Medicines and Pharmaceutical products</v>
          </cell>
        </row>
        <row r="2435">
          <cell r="B2435" t="str">
            <v>Procurement and Supply management costs</v>
          </cell>
        </row>
        <row r="2436">
          <cell r="B2436" t="str">
            <v>Infrastructure and other equipment</v>
          </cell>
        </row>
        <row r="2437">
          <cell r="B2437" t="str">
            <v>Communication materials</v>
          </cell>
        </row>
        <row r="2438">
          <cell r="B2438" t="str">
            <v>Monitoring and evaluation</v>
          </cell>
        </row>
        <row r="2439">
          <cell r="B2439" t="str">
            <v>Planning and Administration</v>
          </cell>
        </row>
        <row r="2440">
          <cell r="B2440" t="str">
            <v>Overheads</v>
          </cell>
        </row>
      </sheetData>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inancial Report"/>
      <sheetName val="Expenditure by Donor"/>
      <sheetName val="Onward Grants &lt;30K"/>
      <sheetName val="Onward Grants &gt;30K"/>
      <sheetName val="Alliance Fund Balance"/>
      <sheetName val="Forecast (AC1)"/>
      <sheetName val="Funds Received"/>
      <sheetName val="Funds Request"/>
      <sheetName val="Balance Sheet"/>
      <sheetName val="Reimbursable Expenses"/>
      <sheetName val="Notes"/>
    </sheetNames>
    <sheetDataSet>
      <sheetData sheetId="0">
        <row r="5">
          <cell r="C5" t="str">
            <v>Quarter 3 - July to September</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erformance Framework"/>
      <sheetName val="HIV"/>
      <sheetName val="TB"/>
      <sheetName val="Malaria"/>
      <sheetName val="HSS"/>
      <sheetName val="Q19-EFR"/>
    </sheetNames>
    <sheetDataSet>
      <sheetData sheetId="0" refreshError="1"/>
      <sheetData sheetId="1" refreshError="1"/>
      <sheetData sheetId="2">
        <row r="2">
          <cell r="A2" t="str">
            <v>Please select…</v>
          </cell>
          <cell r="E2" t="str">
            <v>Please select…</v>
          </cell>
        </row>
        <row r="3">
          <cell r="A3" t="str">
            <v>BCC - Mass media</v>
          </cell>
          <cell r="E3" t="str">
            <v>HMIS</v>
          </cell>
        </row>
        <row r="4">
          <cell r="A4" t="str">
            <v>BCC - community outreach and schools</v>
          </cell>
          <cell r="E4" t="str">
            <v>Patient records</v>
          </cell>
          <cell r="F4" t="str">
            <v>Please enter a data source here…</v>
          </cell>
        </row>
        <row r="5">
          <cell r="A5" t="str">
            <v xml:space="preserve">Condom </v>
          </cell>
          <cell r="E5" t="str">
            <v>Training records</v>
          </cell>
          <cell r="F5" t="str">
            <v>Please enter a SDA here…</v>
          </cell>
        </row>
        <row r="6">
          <cell r="A6" t="str">
            <v>Testing and Counseling</v>
          </cell>
          <cell r="E6" t="str">
            <v>MICS (Multiple Indicator Cluster Survey)</v>
          </cell>
        </row>
        <row r="7">
          <cell r="A7" t="str">
            <v>PMTCT</v>
          </cell>
          <cell r="E7" t="str">
            <v>DHS/DHS+ (Demographic and Health
Survey)</v>
          </cell>
        </row>
        <row r="8">
          <cell r="A8" t="str">
            <v>Post-exposure prophylaxis (PEP)</v>
          </cell>
          <cell r="E8" t="str">
            <v>AIS (AIDS Indicator Survey)</v>
          </cell>
        </row>
        <row r="9">
          <cell r="A9" t="str">
            <v>STI diagnosis and treatment</v>
          </cell>
          <cell r="E9" t="str">
            <v>BSS (Behavioral Surveillance Survey)</v>
          </cell>
        </row>
        <row r="10">
          <cell r="A10" t="str">
            <v>Blood safety and universal precaution</v>
          </cell>
          <cell r="E10" t="str">
            <v>Health Facility survey</v>
          </cell>
        </row>
        <row r="11">
          <cell r="A11" t="str">
            <v>Antiretroviral treatment (ARV) and monitoring</v>
          </cell>
          <cell r="E11" t="str">
            <v>SAMS (Service Availability Mapping
Survey)</v>
          </cell>
        </row>
        <row r="12">
          <cell r="A12" t="str">
            <v>Prophylaxis and treatment for opportunistic infections</v>
          </cell>
          <cell r="E12" t="str">
            <v>Households survey</v>
          </cell>
        </row>
        <row r="13">
          <cell r="A13" t="str">
            <v>Care and support for the chronically ill</v>
          </cell>
          <cell r="E13" t="str">
            <v>Specific surveys and research (specify)</v>
          </cell>
        </row>
        <row r="14">
          <cell r="A14" t="str">
            <v>Support for orphans and vulnerable children</v>
          </cell>
          <cell r="E14" t="str">
            <v>Reports (specify)</v>
          </cell>
        </row>
        <row r="15">
          <cell r="A15" t="str">
            <v>TB/HIV</v>
          </cell>
          <cell r="E15" t="str">
            <v>Vital and disease-specific registry</v>
          </cell>
        </row>
        <row r="16">
          <cell r="A16" t="str">
            <v>Policy development including workplace policy</v>
          </cell>
          <cell r="E16" t="str">
            <v>Operational Research</v>
          </cell>
        </row>
        <row r="17">
          <cell r="A17" t="str">
            <v xml:space="preserve">Strengthening of civil society and institutional capacity building </v>
          </cell>
          <cell r="E17" t="str">
            <v>Health Provider survey</v>
          </cell>
        </row>
        <row r="18">
          <cell r="A18" t="str">
            <v>Stigma reduction in all settings</v>
          </cell>
          <cell r="E18" t="str">
            <v>National Health Account</v>
          </cell>
        </row>
        <row r="19">
          <cell r="A19" t="str">
            <v>HSS: Service delivery</v>
          </cell>
          <cell r="E19" t="str">
            <v>Administrative records</v>
          </cell>
        </row>
        <row r="20">
          <cell r="A20" t="str">
            <v>HSS: Health Workforce</v>
          </cell>
        </row>
        <row r="21">
          <cell r="A21" t="str">
            <v>HSS: Medical Products, vaccines and technology</v>
          </cell>
        </row>
        <row r="22">
          <cell r="A22" t="str">
            <v>HSS: Financing</v>
          </cell>
        </row>
        <row r="23">
          <cell r="A23" t="str">
            <v>HSS: Leadership and Governance</v>
          </cell>
        </row>
        <row r="24">
          <cell r="A24" t="str">
            <v xml:space="preserve">HSS: Information system </v>
          </cell>
        </row>
        <row r="25">
          <cell r="A25" t="str">
            <v>CSS: Monitoring and documentation of community and government interventions</v>
          </cell>
        </row>
        <row r="26">
          <cell r="A26" t="str">
            <v xml:space="preserve">CSS: Advocacy, communication and social mobilization </v>
          </cell>
        </row>
        <row r="27">
          <cell r="A27" t="str">
            <v xml:space="preserve">CSS: Building community linkages, collaboration and coordination </v>
          </cell>
        </row>
        <row r="28">
          <cell r="A28" t="str">
            <v xml:space="preserve">CSS: Human resources: skills building for service delivery, advocacy and leadership </v>
          </cell>
        </row>
        <row r="29">
          <cell r="A29" t="str">
            <v xml:space="preserve">CSS: Financial resources </v>
          </cell>
        </row>
        <row r="30">
          <cell r="A30" t="str">
            <v>CSS: Material resources - infrastructure and essential commodities (including medical and other products &amp; technologies)</v>
          </cell>
        </row>
        <row r="31">
          <cell r="A31" t="str">
            <v xml:space="preserve">CSS: Community based activities and services - delivery, use and quality </v>
          </cell>
        </row>
        <row r="32">
          <cell r="A32" t="str">
            <v xml:space="preserve">CSS: Management, accountability and leadership </v>
          </cell>
        </row>
        <row r="33">
          <cell r="A33" t="str">
            <v xml:space="preserve">CSS: Monitoring &amp; evaluation, evidence-building </v>
          </cell>
        </row>
        <row r="34">
          <cell r="A34" t="str">
            <v xml:space="preserve">CSS: Strategic planning </v>
          </cell>
        </row>
      </sheetData>
      <sheetData sheetId="3">
        <row r="2">
          <cell r="A2" t="str">
            <v>Please select…</v>
          </cell>
          <cell r="E2" t="str">
            <v>Please select…</v>
          </cell>
        </row>
        <row r="3">
          <cell r="A3" t="str">
            <v>High Quality DOTS</v>
          </cell>
          <cell r="E3" t="str">
            <v>R&amp;R TB system, quarterly reports</v>
          </cell>
        </row>
        <row r="4">
          <cell r="A4" t="str">
            <v>Improving diagnosis</v>
          </cell>
          <cell r="E4" t="str">
            <v xml:space="preserve">R&amp;R TB system, yearly management report </v>
          </cell>
        </row>
        <row r="5">
          <cell r="A5" t="str">
            <v xml:space="preserve">Patient support </v>
          </cell>
          <cell r="E5" t="str">
            <v>TB prevalence survey</v>
          </cell>
        </row>
        <row r="6">
          <cell r="A6" t="str">
            <v xml:space="preserve">Procurement and supply management (First line drugs) </v>
          </cell>
          <cell r="E6" t="str">
            <v>TB patient register</v>
          </cell>
        </row>
        <row r="7">
          <cell r="A7" t="str">
            <v>M&amp;E</v>
          </cell>
          <cell r="E7" t="str">
            <v>TB laboratory register</v>
          </cell>
        </row>
        <row r="8">
          <cell r="A8" t="str">
            <v>TB/HIV</v>
          </cell>
          <cell r="E8" t="str">
            <v>TB treatment card</v>
          </cell>
        </row>
        <row r="9">
          <cell r="A9" t="str">
            <v>MDR-TB</v>
          </cell>
          <cell r="E9" t="str">
            <v>Training records</v>
          </cell>
        </row>
        <row r="10">
          <cell r="A10" t="str">
            <v xml:space="preserve">High-risk groups </v>
          </cell>
          <cell r="E10" t="str">
            <v>Specify- Reports, Surveys, Questionnaires etc.</v>
          </cell>
        </row>
        <row r="11">
          <cell r="A11" t="str">
            <v>PAL (Practical Approach to Lung Health)</v>
          </cell>
          <cell r="E11" t="str">
            <v>Health Provider survey</v>
          </cell>
        </row>
        <row r="12">
          <cell r="A12" t="str">
            <v>All care providers (PPM / ISTC - Public-Public, Public-Private Mix (PPM) approaches and International standards for TB care)</v>
          </cell>
          <cell r="E12" t="str">
            <v>Health Facility survey</v>
          </cell>
        </row>
        <row r="13">
          <cell r="A13" t="str">
            <v xml:space="preserve">ACSM (Advocacy, communication and social mobilization) </v>
          </cell>
          <cell r="E13" t="str">
            <v>National Health Account</v>
          </cell>
        </row>
        <row r="14">
          <cell r="A14" t="str">
            <v xml:space="preserve">Community TB care </v>
          </cell>
          <cell r="E14" t="str">
            <v>Households survey</v>
          </cell>
        </row>
        <row r="15">
          <cell r="A15" t="str">
            <v>Operational Research</v>
          </cell>
          <cell r="E15" t="str">
            <v>SAMS (Service Availability Mapping Survey)</v>
          </cell>
        </row>
        <row r="16">
          <cell r="A16" t="str">
            <v>HSS: Service delivery</v>
          </cell>
          <cell r="E16" t="str">
            <v>Administrative records</v>
          </cell>
        </row>
        <row r="17">
          <cell r="A17" t="str">
            <v>HSS:  Health Workforce</v>
          </cell>
        </row>
        <row r="18">
          <cell r="A18" t="str">
            <v>HSS:  Medical Products, Vaccines and Technology</v>
          </cell>
        </row>
        <row r="19">
          <cell r="A19" t="str">
            <v>HSS:  Financing</v>
          </cell>
        </row>
        <row r="20">
          <cell r="A20" t="str">
            <v>HSS:  Information System</v>
          </cell>
        </row>
        <row r="21">
          <cell r="A21" t="str">
            <v>HSS:  Leadership and Goverance</v>
          </cell>
        </row>
        <row r="22">
          <cell r="A22" t="str">
            <v>CSS: Monitoring and documentation of community and government interventions</v>
          </cell>
        </row>
        <row r="23">
          <cell r="A23" t="str">
            <v xml:space="preserve">CSS: Advocacy, communication and social mobilization </v>
          </cell>
        </row>
        <row r="24">
          <cell r="A24" t="str">
            <v xml:space="preserve">CSS: Building community linkages, collaboration and coordination </v>
          </cell>
        </row>
        <row r="25">
          <cell r="A25" t="str">
            <v xml:space="preserve">CSS: Human resources: skills building for service delivery, advocacy and leadership </v>
          </cell>
        </row>
        <row r="26">
          <cell r="A26" t="str">
            <v xml:space="preserve">CSS: Financial resources </v>
          </cell>
        </row>
        <row r="27">
          <cell r="A27" t="str">
            <v>CSS: Material resources - infrastructure and essential commodities (including medical and other products &amp; technologies)</v>
          </cell>
        </row>
        <row r="28">
          <cell r="A28" t="str">
            <v xml:space="preserve">CSS: Community based activities and services - delivery, use and quality </v>
          </cell>
        </row>
        <row r="29">
          <cell r="A29" t="str">
            <v xml:space="preserve">CSS: Management, accountability and leadership </v>
          </cell>
        </row>
        <row r="30">
          <cell r="A30" t="str">
            <v xml:space="preserve">CSS: Monitoring &amp; evaluation, evidence-building </v>
          </cell>
        </row>
        <row r="31">
          <cell r="A31" t="str">
            <v xml:space="preserve">CSS: Strategic planning </v>
          </cell>
        </row>
      </sheetData>
      <sheetData sheetId="4">
        <row r="2">
          <cell r="A2" t="str">
            <v>Please select…</v>
          </cell>
          <cell r="E2" t="str">
            <v>Please select…</v>
          </cell>
        </row>
        <row r="3">
          <cell r="A3" t="str">
            <v>BCC - Mass media</v>
          </cell>
          <cell r="E3" t="str">
            <v>DHS/DHS+ (Demographic and Health Survey)</v>
          </cell>
        </row>
        <row r="4">
          <cell r="A4" t="str">
            <v>BCC - community outreach</v>
          </cell>
          <cell r="E4" t="str">
            <v>MIS (Malaria Indicator Survey)</v>
          </cell>
        </row>
        <row r="5">
          <cell r="A5" t="str">
            <v>Insecticide-treated nets (ITNs)</v>
          </cell>
          <cell r="E5" t="str">
            <v>MICS (Multiple Indicator Cluster Survey)</v>
          </cell>
        </row>
        <row r="6">
          <cell r="A6" t="str">
            <v>Malaria prevention during pregnancy</v>
          </cell>
          <cell r="E6" t="str">
            <v>Situation Analysis</v>
          </cell>
        </row>
        <row r="7">
          <cell r="A7" t="str">
            <v>Indoor Residual Spraying</v>
          </cell>
          <cell r="E7" t="str">
            <v>HMIS</v>
          </cell>
        </row>
        <row r="8">
          <cell r="A8" t="str">
            <v>Prompt, effective anti-malarial treatment</v>
          </cell>
          <cell r="E8" t="str">
            <v>Health Facility survey</v>
          </cell>
        </row>
        <row r="9">
          <cell r="A9" t="str">
            <v>Home based management of malaria</v>
          </cell>
          <cell r="E9" t="str">
            <v>Health Provider survey</v>
          </cell>
        </row>
        <row r="10">
          <cell r="A10" t="str">
            <v>Diagnosis</v>
          </cell>
          <cell r="E10" t="str">
            <v>Key informant survey</v>
          </cell>
        </row>
        <row r="11">
          <cell r="A11" t="str">
            <v>Monitoring drug resistance</v>
          </cell>
          <cell r="E11" t="str">
            <v>Households survey</v>
          </cell>
        </row>
        <row r="12">
          <cell r="A12" t="str">
            <v>Monitoring insecticide resistance</v>
          </cell>
          <cell r="E12" t="str">
            <v>Vital registration systems</v>
          </cell>
        </row>
        <row r="13">
          <cell r="A13" t="str">
            <v>Coordination and partnership development (national, community, public-private)</v>
          </cell>
          <cell r="E13" t="str">
            <v>Training records</v>
          </cell>
        </row>
        <row r="14">
          <cell r="A14" t="str">
            <v>HSS: Service delivery</v>
          </cell>
          <cell r="E14" t="str">
            <v>Patients records</v>
          </cell>
        </row>
        <row r="15">
          <cell r="A15" t="str">
            <v xml:space="preserve">HSS: Health Workforce </v>
          </cell>
          <cell r="E15" t="str">
            <v>Surveillance systems</v>
          </cell>
        </row>
        <row r="16">
          <cell r="A16" t="str">
            <v xml:space="preserve">HSS: Medical Products, Vaccines and Technology </v>
          </cell>
          <cell r="E16" t="str">
            <v>Other report, specify</v>
          </cell>
        </row>
        <row r="17">
          <cell r="A17" t="str">
            <v xml:space="preserve">HSS: Information system </v>
          </cell>
          <cell r="E17" t="str">
            <v>National Health Account</v>
          </cell>
        </row>
        <row r="18">
          <cell r="A18" t="str">
            <v xml:space="preserve">HSS: Financing </v>
          </cell>
          <cell r="E18" t="str">
            <v>SAMS (Service Availability Mapping Survey)</v>
          </cell>
        </row>
        <row r="19">
          <cell r="A19" t="str">
            <v xml:space="preserve">HSS: Leadership and Goverance </v>
          </cell>
          <cell r="E19" t="str">
            <v>Other survey, specify</v>
          </cell>
        </row>
        <row r="20">
          <cell r="A20" t="str">
            <v>CSS: Monitoring and documentation of community and government interventions</v>
          </cell>
          <cell r="E20" t="str">
            <v>Administrative records</v>
          </cell>
        </row>
        <row r="21">
          <cell r="A21" t="str">
            <v xml:space="preserve">CSS: Advocacy, communication and social mobilization </v>
          </cell>
        </row>
        <row r="22">
          <cell r="A22" t="str">
            <v xml:space="preserve">CSS: Building community linkages, collaboration and coordination </v>
          </cell>
        </row>
        <row r="23">
          <cell r="A23" t="str">
            <v xml:space="preserve">CSS: Human resources: skills building for service delivery, advocacy and leadership </v>
          </cell>
        </row>
        <row r="24">
          <cell r="A24" t="str">
            <v xml:space="preserve">CSS: Financial resources </v>
          </cell>
        </row>
        <row r="25">
          <cell r="A25" t="str">
            <v>CSS: Material resources - infrastructure and essential commodities (including medical and other products &amp; technologies)</v>
          </cell>
        </row>
        <row r="26">
          <cell r="A26" t="str">
            <v xml:space="preserve">CSS: Community based activities and services - delivery, use and quality </v>
          </cell>
        </row>
        <row r="27">
          <cell r="A27" t="str">
            <v xml:space="preserve">CSS: Management, accountability and leadership </v>
          </cell>
        </row>
        <row r="28">
          <cell r="A28" t="str">
            <v xml:space="preserve">CSS: Monitoring &amp; evaluation, evidence-building </v>
          </cell>
        </row>
        <row r="29">
          <cell r="A29" t="str">
            <v xml:space="preserve">CSS: Strategic planning </v>
          </cell>
        </row>
      </sheetData>
      <sheetData sheetId="5">
        <row r="2">
          <cell r="A2" t="str">
            <v>Please select…</v>
          </cell>
          <cell r="D2" t="str">
            <v>Please select…</v>
          </cell>
        </row>
        <row r="3">
          <cell r="A3" t="str">
            <v>HSS: Service delivery</v>
          </cell>
          <cell r="D3" t="str">
            <v>HMIS</v>
          </cell>
        </row>
        <row r="4">
          <cell r="A4" t="str">
            <v>HSS: Health Workforce</v>
          </cell>
          <cell r="D4" t="str">
            <v>Patient records</v>
          </cell>
        </row>
        <row r="5">
          <cell r="A5" t="str">
            <v>HSS: Medical Products, vaccines and technology</v>
          </cell>
          <cell r="D5" t="str">
            <v>Training records</v>
          </cell>
        </row>
        <row r="6">
          <cell r="A6" t="str">
            <v>HSS: Financing</v>
          </cell>
          <cell r="D6" t="str">
            <v>MICS (Multiple Indicator Cluster Survey)</v>
          </cell>
        </row>
        <row r="7">
          <cell r="A7" t="str">
            <v>HSS: Leadership and Governance</v>
          </cell>
          <cell r="D7" t="str">
            <v>DHS/DHS+ (Demographic and Health Survey)</v>
          </cell>
        </row>
        <row r="8">
          <cell r="A8" t="str">
            <v xml:space="preserve">HSS: Information system </v>
          </cell>
          <cell r="D8" t="str">
            <v>AIS (AIDS Indicator Survey)</v>
          </cell>
        </row>
        <row r="9">
          <cell r="A9" t="str">
            <v>CSS: Monitoring and documentation of community and government interventions</v>
          </cell>
          <cell r="D9" t="str">
            <v>BSS (Behavioral Surveillance Survey)</v>
          </cell>
        </row>
        <row r="10">
          <cell r="A10" t="str">
            <v xml:space="preserve">CSS: Advocacy, communication and social mobilization </v>
          </cell>
          <cell r="D10" t="str">
            <v>Health Facility survey</v>
          </cell>
        </row>
        <row r="11">
          <cell r="A11" t="str">
            <v xml:space="preserve">CSS: Building community linkages, collaboration and coordination </v>
          </cell>
          <cell r="D11" t="str">
            <v>SAMS (Service Availability Mapping Survey)</v>
          </cell>
        </row>
        <row r="12">
          <cell r="A12" t="str">
            <v xml:space="preserve">CSS: Human resources: skills building for service delivery, advocacy and leadership </v>
          </cell>
          <cell r="D12" t="str">
            <v>Households survey</v>
          </cell>
        </row>
        <row r="13">
          <cell r="A13" t="str">
            <v xml:space="preserve">CSS: Financial resources </v>
          </cell>
          <cell r="D13" t="str">
            <v>Specific surveys and research (specify)</v>
          </cell>
        </row>
        <row r="14">
          <cell r="A14" t="str">
            <v>CSS: Material resources - infrastructure and essential commodities (including medical and other products &amp; technologies)</v>
          </cell>
          <cell r="D14" t="str">
            <v>Reports (specify)</v>
          </cell>
        </row>
        <row r="15">
          <cell r="A15" t="str">
            <v xml:space="preserve">CSS: Community based activities and services - delivery, use and quality </v>
          </cell>
          <cell r="D15" t="str">
            <v>Vital and disease-specific registry</v>
          </cell>
        </row>
        <row r="16">
          <cell r="A16" t="str">
            <v xml:space="preserve">CSS: Management, accountability and leadership </v>
          </cell>
          <cell r="D16" t="str">
            <v>Operational Research</v>
          </cell>
        </row>
        <row r="17">
          <cell r="A17" t="str">
            <v xml:space="preserve">CSS: Monitoring &amp; evaluation, evidence-building </v>
          </cell>
          <cell r="D17" t="str">
            <v>Health Provider survey</v>
          </cell>
        </row>
        <row r="18">
          <cell r="A18" t="str">
            <v xml:space="preserve">CSS: Strategic planning </v>
          </cell>
          <cell r="D18" t="str">
            <v>National Health Account</v>
          </cell>
        </row>
        <row r="19">
          <cell r="D19" t="str">
            <v>Administrative records</v>
          </cell>
        </row>
        <row r="20">
          <cell r="D20" t="str">
            <v>R&amp;R TB system, quarterly reports</v>
          </cell>
        </row>
        <row r="21">
          <cell r="D21" t="str">
            <v xml:space="preserve">R&amp;R TB system, yearly management report </v>
          </cell>
        </row>
        <row r="22">
          <cell r="D22" t="str">
            <v>TB prevalence survey</v>
          </cell>
        </row>
        <row r="23">
          <cell r="D23" t="str">
            <v>TB patient register</v>
          </cell>
        </row>
        <row r="24">
          <cell r="D24" t="str">
            <v>TB laboratory register</v>
          </cell>
        </row>
        <row r="25">
          <cell r="D25" t="str">
            <v>TB treatment card</v>
          </cell>
        </row>
        <row r="26">
          <cell r="D26" t="str">
            <v>MIS (Malaria Indicator Survey)</v>
          </cell>
        </row>
        <row r="27">
          <cell r="D27" t="str">
            <v>Situation Analysis</v>
          </cell>
        </row>
        <row r="28">
          <cell r="D28" t="str">
            <v>Key informant survey</v>
          </cell>
        </row>
        <row r="29">
          <cell r="D29" t="str">
            <v>Patients records</v>
          </cell>
        </row>
        <row r="30">
          <cell r="D30" t="str">
            <v>Surveillance systems</v>
          </cell>
        </row>
        <row r="31">
          <cell r="D31" t="str">
            <v>Specify- Reports, Surveys, Questionnaires etc.</v>
          </cell>
        </row>
      </sheetData>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Detail Budget"/>
      <sheetName val="Бюджет"/>
      <sheetName val="Staff costs"/>
      <sheetName val="Adm"/>
      <sheetName val="Лист1"/>
    </sheetNames>
    <sheetDataSet>
      <sheetData sheetId="0">
        <row r="3">
          <cell r="A3" t="str">
            <v>Personnel Costs (include list the costs for each staff person)</v>
          </cell>
        </row>
        <row r="4">
          <cell r="A4" t="str">
            <v>Project coordinator</v>
          </cell>
        </row>
        <row r="5">
          <cell r="A5" t="str">
            <v>Information Materials Manager</v>
          </cell>
        </row>
        <row r="6">
          <cell r="A6" t="str">
            <v>Communication Manager</v>
          </cell>
        </row>
        <row r="7">
          <cell r="A7" t="str">
            <v>STI and Testing Manager</v>
          </cell>
        </row>
        <row r="8">
          <cell r="A8" t="str">
            <v>The Treatment Advisor</v>
          </cell>
        </row>
        <row r="9">
          <cell r="A9" t="str">
            <v>Associate Director on Policy and Partnership</v>
          </cell>
        </row>
        <row r="12">
          <cell r="A12" t="str">
            <v>Subtotal: Personnel Costs</v>
          </cell>
        </row>
        <row r="14">
          <cell r="A14" t="str">
            <v>Professional Fees (include costs for each professional involved)</v>
          </cell>
        </row>
        <row r="15">
          <cell r="A15" t="str">
            <v>Consultant fees (flat or rate)</v>
          </cell>
        </row>
        <row r="16">
          <cell r="A16" t="str">
            <v>Consultant travel expenses</v>
          </cell>
        </row>
        <row r="17">
          <cell r="A17" t="str">
            <v>Subtotal: Professional Fees</v>
          </cell>
        </row>
        <row r="19">
          <cell r="A19" t="str">
            <v>Meeting/Conference Costs (include costs for each meeting)</v>
          </cell>
        </row>
        <row r="20">
          <cell r="A20" t="str">
            <v>Travel (flight, ground)</v>
          </cell>
        </row>
        <row r="21">
          <cell r="A21" t="str">
            <v xml:space="preserve">Hotel rooms </v>
          </cell>
        </row>
        <row r="22">
          <cell r="A22" t="str">
            <v>Meals (lunch, dinner)</v>
          </cell>
        </row>
        <row r="23">
          <cell r="A23" t="str">
            <v>Per diem</v>
          </cell>
        </row>
        <row r="24">
          <cell r="A24" t="str">
            <v>Meeting space rental</v>
          </cell>
        </row>
        <row r="25">
          <cell r="A25" t="str">
            <v>Health Products</v>
          </cell>
        </row>
        <row r="26">
          <cell r="A26" t="str">
            <v>Subtotal: Meeting/Conference Costs</v>
          </cell>
        </row>
        <row r="28">
          <cell r="A28" t="str">
            <v>Travel</v>
          </cell>
        </row>
        <row r="29">
          <cell r="A29" t="str">
            <v>Subtotal: Travel</v>
          </cell>
        </row>
        <row r="31">
          <cell r="A31" t="str">
            <v>Communications Costs</v>
          </cell>
        </row>
        <row r="32">
          <cell r="A32" t="str">
            <v>Telephone and fax</v>
          </cell>
        </row>
        <row r="33">
          <cell r="A33" t="str">
            <v>Internet costs</v>
          </cell>
        </row>
        <row r="34">
          <cell r="A34" t="str">
            <v>Postage and courier fees</v>
          </cell>
        </row>
        <row r="35">
          <cell r="A35" t="str">
            <v>Media (press events)</v>
          </cell>
        </row>
        <row r="36">
          <cell r="A36" t="str">
            <v>Printing and copying</v>
          </cell>
        </row>
        <row r="37">
          <cell r="A37" t="str">
            <v>Materials</v>
          </cell>
        </row>
        <row r="38">
          <cell r="A38" t="str">
            <v>Translation</v>
          </cell>
        </row>
        <row r="39">
          <cell r="A39" t="str">
            <v>Subtotal: Communications Costs</v>
          </cell>
        </row>
        <row r="41">
          <cell r="A41" t="str">
            <v>Indirect/Overhead Costs (e.g. rent, utilities, salaries of executive and administrative staff) - cannot exceed 15% of the total project budget</v>
          </cell>
        </row>
        <row r="42">
          <cell r="A42" t="str">
            <v>Subtotal: Indirect Costs</v>
          </cell>
        </row>
      </sheetData>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CF"/>
      <sheetName val="Sum"/>
      <sheetName val="Sum7"/>
      <sheetName val="PL Sum"/>
      <sheetName val="Client Sum"/>
      <sheetName val="RTI Budget Summary"/>
      <sheetName val="ASI"/>
      <sheetName val="Rates"/>
      <sheetName val="ODC in Rupiah"/>
      <sheetName val="Pricing"/>
      <sheetName val="MOBIS Rates"/>
      <sheetName val="MOBIS Budget Summary"/>
      <sheetName val="Rates with Discount"/>
      <sheetName val="CCN Rates with Discount"/>
      <sheetName val="0.75% IFF CCN"/>
      <sheetName val="CCN FBDR"/>
      <sheetName val="professional fringe"/>
      <sheetName val="support fringe"/>
      <sheetName val="Materials&amp;equipment"/>
      <sheetName val="Program Activities "/>
      <sheetName val="Notes"/>
      <sheetName val="0.75% IFF"/>
      <sheetName val="Units"/>
      <sheetName val="Travel Table"/>
      <sheetName val="Deliverables Table"/>
      <sheetName val="Loaded"/>
      <sheetName val="Load5"/>
      <sheetName val="DL Sum"/>
      <sheetName val="Labor"/>
      <sheetName val="Q19-EFR"/>
      <sheetName val="AR-1 Summary"/>
      <sheetName val="Reference"/>
      <sheetName val="Budget"/>
      <sheetName val="Budget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C3">
            <v>0.39</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1.Indicator and targets"/>
      <sheetName val="2.Workplan July 04 - Dec 05"/>
      <sheetName val="4. Budget Jul 04Jun 05 Template"/>
      <sheetName val="5. Budget Salaries Template"/>
      <sheetName val="6. Budget Notes Template"/>
      <sheetName val="4. Budget July 04-June 05"/>
      <sheetName val="5. Salary calculuations"/>
      <sheetName val="1_Indicator and targets"/>
      <sheetName val="Budget Summary"/>
      <sheetName val="Title_page"/>
      <sheetName val="1_Indicator_and_targets"/>
      <sheetName val="2_Workplan_July_04_-_Dec_05"/>
      <sheetName val="4__Budget_Jul_04Jun_05_Template"/>
      <sheetName val="5__Budget_Salaries_Template"/>
      <sheetName val="6__Budget_Notes_Template"/>
      <sheetName val="4__Budget_July_04-June_05"/>
      <sheetName val="5__Salary_calculuations"/>
      <sheetName val="1_Indicator_and_targets1"/>
      <sheetName val="Title_page1"/>
      <sheetName val="1_Indicator_and_targets2"/>
      <sheetName val="2_Workplan_July_04_-_Dec_051"/>
      <sheetName val="4__Budget_Jul_04Jun_05_Templat1"/>
      <sheetName val="5__Budget_Salaries_Template1"/>
      <sheetName val="6__Budget_Notes_Template1"/>
      <sheetName val="4__Budget_July_04-June_051"/>
      <sheetName val="5__Salary_calculuations1"/>
      <sheetName val="1_Indicator_and_targets3"/>
      <sheetName val="Title_page2"/>
      <sheetName val="1_Indicator_and_targets4"/>
      <sheetName val="2_Workplan_July_04_-_Dec_052"/>
      <sheetName val="4__Budget_Jul_04Jun_05_Templat2"/>
      <sheetName val="5__Budget_Salaries_Template2"/>
      <sheetName val="6__Budget_Notes_Template2"/>
      <sheetName val="4__Budget_July_04-June_052"/>
      <sheetName val="5__Salary_calculuations2"/>
      <sheetName val="1_Indicator_and_targets5"/>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s>
    <sheetDataSet>
      <sheetData sheetId="0"/>
      <sheetData sheetId="1">
        <row r="31">
          <cell r="B31" t="str">
            <v>Please Select…</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U_S"/>
      <sheetName val="by activities"/>
      <sheetName val="GF Rd10 Ph2 WP"/>
      <sheetName val="names"/>
      <sheetName val="groups"/>
      <sheetName val="BA_Prog"/>
      <sheetName val="BA_Cov+PSM"/>
      <sheetName val="BA_Events,CM, OpRes"/>
      <sheetName val="BA"/>
      <sheetName val="PhI"/>
      <sheetName val="R10_AdminCosts+Staff_PR2"/>
      <sheetName val="Pivot_TP"/>
      <sheetName val="TP"/>
      <sheetName val="TP_RC"/>
      <sheetName val="TA"/>
      <sheetName val="Lab diag_HVC"/>
      <sheetName val="Cost per client (2)"/>
    </sheetNames>
    <sheetDataSet>
      <sheetData sheetId="0"/>
      <sheetData sheetId="1"/>
      <sheetData sheetId="2"/>
      <sheetData sheetId="3"/>
      <sheetData sheetId="4">
        <row r="3">
          <cell r="B3" t="str">
            <v>SDA 1.1: Community level outreach and service provision to IDUs and their partners</v>
          </cell>
          <cell r="F3" t="str">
            <v>Subgranting</v>
          </cell>
        </row>
        <row r="4">
          <cell r="F4" t="str">
            <v>Subgranting + SMT</v>
          </cell>
        </row>
        <row r="5">
          <cell r="F5" t="str">
            <v>ART</v>
          </cell>
        </row>
        <row r="6">
          <cell r="F6" t="str">
            <v>SMT</v>
          </cell>
        </row>
        <row r="7">
          <cell r="F7" t="str">
            <v>VHB</v>
          </cell>
        </row>
        <row r="8">
          <cell r="F8" t="str">
            <v>Prison</v>
          </cell>
        </row>
        <row r="9">
          <cell r="F9" t="str">
            <v>Prison + VHB</v>
          </cell>
        </row>
        <row r="10">
          <cell r="F10" t="str">
            <v>UNTC / RTC</v>
          </cell>
        </row>
        <row r="14">
          <cell r="D14" t="str">
            <v>Program</v>
          </cell>
        </row>
        <row r="15">
          <cell r="D15" t="str">
            <v>Procurement</v>
          </cell>
        </row>
        <row r="16">
          <cell r="D16" t="str">
            <v>Finance</v>
          </cell>
        </row>
        <row r="17">
          <cell r="D17" t="str">
            <v>M&amp;E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Programmatic Progress_1A"/>
      <sheetName val="PR_Programmatic Progress_1B"/>
      <sheetName val="PR_Grant Management_2"/>
      <sheetName val="PR_Total PR Cash Outflow_3A"/>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Sheet2"/>
      <sheetName val="Лист1"/>
    </sheetNames>
    <sheetDataSet>
      <sheetData sheetId="0" refreshError="1"/>
      <sheetData sheetId="1">
        <row r="7">
          <cell r="C7" t="str">
            <v>UKR-011-G08-H/1</v>
          </cell>
        </row>
      </sheetData>
      <sheetData sheetId="2" refreshError="1"/>
      <sheetData sheetId="3" refreshError="1"/>
      <sheetData sheetId="4" refreshError="1"/>
      <sheetData sheetId="5" refreshError="1"/>
      <sheetData sheetId="6" refreshError="1"/>
      <sheetData sheetId="7">
        <row r="26">
          <cell r="M26">
            <v>10391767.448626781</v>
          </cell>
        </row>
      </sheetData>
      <sheetData sheetId="8"/>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2">
          <cell r="A2" t="str">
            <v>Please select…</v>
          </cell>
        </row>
        <row r="3">
          <cell r="A3" t="str">
            <v>Prevention: Behavioral Change Communication - Mass media</v>
          </cell>
        </row>
        <row r="4">
          <cell r="A4" t="str">
            <v>Prevention: Behavioral Change Communication - community outreach</v>
          </cell>
        </row>
        <row r="5">
          <cell r="A5" t="str">
            <v>Prevention: Condom distribution</v>
          </cell>
        </row>
        <row r="6">
          <cell r="A6" t="str">
            <v xml:space="preserve">Prevention: Counseling and Testing </v>
          </cell>
        </row>
        <row r="7">
          <cell r="A7" t="str">
            <v>Prevention: PMTCT</v>
          </cell>
        </row>
        <row r="8">
          <cell r="A8" t="str">
            <v>Prevention: Post-exposure prophylaxis (PEP)</v>
          </cell>
        </row>
        <row r="9">
          <cell r="A9" t="str">
            <v>Prevention: STI diagnosis and treatment</v>
          </cell>
        </row>
        <row r="10">
          <cell r="A10" t="str">
            <v>Prevention: Blood safety and universal precaution</v>
          </cell>
        </row>
        <row r="11">
          <cell r="A11" t="str">
            <v>Treatment: Antiretroviral treatment (ARV) and monitoring</v>
          </cell>
        </row>
        <row r="12">
          <cell r="A12" t="str">
            <v>Treatment: Prophylaxis and treatment for opportunistic infections</v>
          </cell>
        </row>
        <row r="13">
          <cell r="A13" t="str">
            <v>Care and support: Care and support for the chronically ill</v>
          </cell>
        </row>
        <row r="14">
          <cell r="A14" t="str">
            <v>Care and support: Support for orphans and vulnerable children</v>
          </cell>
        </row>
        <row r="15">
          <cell r="A15" t="str">
            <v xml:space="preserve">TB/HIV collaborative activities: HIV care and support for HIV-positive TB patients </v>
          </cell>
        </row>
        <row r="16">
          <cell r="A16" t="str">
            <v>Supportive environment: Policy development including workplace policy</v>
          </cell>
        </row>
        <row r="17">
          <cell r="A17" t="str">
            <v xml:space="preserve">Supportive environment: Strengthening of civil society and institutional capacity building </v>
          </cell>
        </row>
        <row r="18">
          <cell r="A18" t="str">
            <v>Supportive environment: Stigma reduction in all settings</v>
          </cell>
        </row>
        <row r="19">
          <cell r="A19" t="str">
            <v>Supportive environment: Program management and administration</v>
          </cell>
        </row>
        <row r="20">
          <cell r="A20" t="str">
            <v>HSS: Service delivery</v>
          </cell>
        </row>
        <row r="21">
          <cell r="A21" t="str">
            <v>HSS: Human resources</v>
          </cell>
        </row>
        <row r="22">
          <cell r="A22" t="str">
            <v>HSS: Community Systems Strengthening</v>
          </cell>
        </row>
        <row r="23">
          <cell r="A23" t="str">
            <v>HSS: Information system &amp; Operational research</v>
          </cell>
        </row>
        <row r="24">
          <cell r="A24" t="str">
            <v>HSS: Infrastructure</v>
          </cell>
        </row>
        <row r="25">
          <cell r="A25" t="str">
            <v>HSS: Procurement and Supply management</v>
          </cell>
        </row>
        <row r="26">
          <cell r="A26" t="str">
            <v>HSS: Other, specify</v>
          </cell>
        </row>
      </sheetData>
      <sheetData sheetId="30" refreshError="1"/>
      <sheetData sheetId="31" refreshError="1"/>
      <sheetData sheetId="32">
        <row r="1">
          <cell r="A1" t="str">
            <v>Please Select…</v>
          </cell>
        </row>
        <row r="2">
          <cell r="A2" t="str">
            <v>Prevention</v>
          </cell>
        </row>
        <row r="3">
          <cell r="A3" t="str">
            <v>Treatment</v>
          </cell>
        </row>
        <row r="4">
          <cell r="A4" t="str">
            <v>Care and Support</v>
          </cell>
        </row>
        <row r="5">
          <cell r="A5" t="str">
            <v>TB/HIV Collaborative Activities</v>
          </cell>
        </row>
        <row r="6">
          <cell r="A6" t="str">
            <v>Supportive Environment</v>
          </cell>
        </row>
        <row r="7">
          <cell r="A7" t="str">
            <v>Health System Strengthening (HSS)</v>
          </cell>
        </row>
        <row r="58">
          <cell r="A58" t="str">
            <v>Please Select…</v>
          </cell>
        </row>
        <row r="59">
          <cell r="A59" t="str">
            <v>FBO</v>
          </cell>
        </row>
        <row r="60">
          <cell r="A60" t="str">
            <v>NGO/CBO/Academic</v>
          </cell>
        </row>
        <row r="61">
          <cell r="A61" t="str">
            <v>Private Sector</v>
          </cell>
        </row>
        <row r="62">
          <cell r="A62" t="str">
            <v>Ministry Health (MoH)</v>
          </cell>
        </row>
        <row r="63">
          <cell r="A63" t="str">
            <v>Other Government</v>
          </cell>
        </row>
        <row r="64">
          <cell r="A64" t="str">
            <v>UNDP</v>
          </cell>
        </row>
        <row r="65">
          <cell r="A65" t="str">
            <v>Other Multilateral Organization</v>
          </cell>
        </row>
      </sheetData>
      <sheetData sheetId="33" refreshError="1"/>
      <sheetData sheetId="3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HIV_AIDS Attachment "/>
      <sheetName val="SDAs_impact_datasources"/>
    </sheetNames>
    <sheetDataSet>
      <sheetData sheetId="0" refreshError="1"/>
      <sheetData sheetId="1" refreshError="1"/>
      <sheetData sheetId="2">
        <row r="2">
          <cell r="D2" t="str">
            <v>impact</v>
          </cell>
        </row>
        <row r="3">
          <cell r="D3" t="str">
            <v>outcome</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а"/>
      <sheetName val="Таблиця витрат"/>
      <sheetName val="Транши"/>
      <sheetName val="Список операцій"/>
      <sheetName val="Інвентарний лист"/>
      <sheetName val="Контрагенти"/>
    </sheetNames>
    <sheetDataSet>
      <sheetData sheetId="0"/>
      <sheetData sheetId="1"/>
      <sheetData sheetId="2"/>
      <sheetData sheetId="3"/>
      <sheetData sheetId="4"/>
      <sheetData sheetId="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Non-Inflation Adjusted)"/>
      <sheetName val="Budget (Inflation Adjusted)"/>
      <sheetName val="OBs by PRs (non-inflat'n adjst)"/>
      <sheetName val="OB1"/>
      <sheetName val="OB2"/>
      <sheetName val="OB3"/>
      <sheetName val="OB4"/>
      <sheetName val="OB5"/>
      <sheetName val="BA-OB1"/>
      <sheetName val="BA-OB2"/>
      <sheetName val="BA-OB3"/>
      <sheetName val="BA-OB4"/>
      <sheetName val="BA OB5"/>
      <sheetName val="OB1 D"/>
      <sheetName val="OB1 D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10 Ph2 Researches BAs"/>
      <sheetName val="TOTALS"/>
    </sheetNames>
    <sheetDataSet>
      <sheetData sheetId="0">
        <row r="330">
          <cell r="A330" t="str">
            <v>Biological</v>
          </cell>
        </row>
        <row r="331">
          <cell r="A331" t="str">
            <v>Behavioral</v>
          </cell>
        </row>
        <row r="332">
          <cell r="A332" t="str">
            <v>Test kits</v>
          </cell>
        </row>
      </sheetData>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шкала SDA и др"/>
      <sheetName val="1.1.1"/>
      <sheetName val="1.1.2"/>
      <sheetName val="1.1.3"/>
      <sheetName val="1.1.4"/>
      <sheetName val="1.1.5"/>
      <sheetName val="1.1.6"/>
      <sheetName val="1.1.7"/>
      <sheetName val="1.2.1"/>
      <sheetName val="1.2.2"/>
      <sheetName val="1.2.3"/>
      <sheetName val="1.3.1"/>
      <sheetName val="1.3.2"/>
      <sheetName val="1.3.3"/>
      <sheetName val="1.4.1"/>
      <sheetName val="1.4.2"/>
      <sheetName val="1.4.3"/>
      <sheetName val="1.4.4"/>
      <sheetName val="1.5.1"/>
      <sheetName val="1.5.2"/>
      <sheetName val="1.6.1"/>
      <sheetName val="1.6.2"/>
      <sheetName val="1.6.3"/>
      <sheetName val="1.6.4"/>
      <sheetName val="1.6.5"/>
      <sheetName val="1.6.6"/>
      <sheetName val="1.6.7"/>
      <sheetName val="2.1.1"/>
      <sheetName val="2.1.2"/>
      <sheetName val="2.1.3"/>
      <sheetName val="2.1.4"/>
      <sheetName val="2.1.5"/>
      <sheetName val="2.1.6"/>
      <sheetName val="2.1.7"/>
      <sheetName val="2.2.1"/>
      <sheetName val="2.2.2"/>
      <sheetName val="2.2.3"/>
      <sheetName val="2.2.4"/>
      <sheetName val="2.3.1"/>
      <sheetName val="2.3.2"/>
      <sheetName val="2.3.3"/>
      <sheetName val="2.3.4"/>
      <sheetName val="2.4.1"/>
      <sheetName val="2.4.2"/>
      <sheetName val="2.4.3"/>
      <sheetName val="3.1.1"/>
      <sheetName val="3.1.2"/>
      <sheetName val="3.1.3"/>
      <sheetName val="3.1.4"/>
      <sheetName val="3.1.5"/>
      <sheetName val="3.1.6"/>
      <sheetName val="3.1.7"/>
      <sheetName val="3.2.1"/>
      <sheetName val="3.2.2"/>
      <sheetName val="3.2.3"/>
      <sheetName val="3.2.4"/>
      <sheetName val="3.2.5"/>
      <sheetName val="3.2.6"/>
      <sheetName val="3.3.1"/>
      <sheetName val="3.3.2"/>
      <sheetName val="3.3.3"/>
      <sheetName val="3.4.1"/>
      <sheetName val="3.4.2"/>
      <sheetName val="3.4.3"/>
      <sheetName val="3.4.4"/>
      <sheetName val="4.1.1"/>
      <sheetName val="4.1.2"/>
      <sheetName val="4.2"/>
      <sheetName val="4.3"/>
      <sheetName val="4.4"/>
    </sheetNames>
    <sheetDataSet>
      <sheetData sheetId="0"/>
      <sheetData sheetId="1">
        <row r="3">
          <cell r="M3" t="str">
            <v>HR</v>
          </cell>
        </row>
        <row r="4">
          <cell r="M4" t="str">
            <v>TA</v>
          </cell>
        </row>
        <row r="5">
          <cell r="M5" t="str">
            <v>T</v>
          </cell>
        </row>
        <row r="6">
          <cell r="M6" t="str">
            <v>HP</v>
          </cell>
        </row>
        <row r="7">
          <cell r="M7" t="str">
            <v>MED</v>
          </cell>
        </row>
        <row r="8">
          <cell r="M8" t="str">
            <v>PC</v>
          </cell>
        </row>
        <row r="9">
          <cell r="M9" t="str">
            <v>IF</v>
          </cell>
        </row>
        <row r="10">
          <cell r="M10" t="str">
            <v>CM</v>
          </cell>
        </row>
        <row r="11">
          <cell r="M11" t="str">
            <v>ME</v>
          </cell>
        </row>
        <row r="12">
          <cell r="M12" t="str">
            <v>LS</v>
          </cell>
        </row>
        <row r="13">
          <cell r="M13" t="str">
            <v>PA</v>
          </cell>
        </row>
        <row r="14">
          <cell r="M14" t="str">
            <v>OTHER</v>
          </cell>
        </row>
        <row r="15">
          <cell r="M15" t="str">
            <v>OV</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V AIDS_Financial Data"/>
      <sheetName val="Definitions"/>
      <sheetName val="Annex 1"/>
      <sheetName val="Sheet2"/>
    </sheetNames>
    <sheetDataSet>
      <sheetData sheetId="0"/>
      <sheetData sheetId="1" refreshError="1">
        <row r="1">
          <cell r="L1" t="str">
            <v>Please Select…</v>
          </cell>
        </row>
        <row r="2">
          <cell r="L2" t="str">
            <v>FBO</v>
          </cell>
        </row>
        <row r="3">
          <cell r="L3" t="str">
            <v>NGO/CBO/Academic</v>
          </cell>
        </row>
        <row r="4">
          <cell r="L4" t="str">
            <v>Private Sector</v>
          </cell>
        </row>
        <row r="5">
          <cell r="L5" t="str">
            <v>Ministry of Health (MoH)</v>
          </cell>
        </row>
        <row r="6">
          <cell r="L6" t="str">
            <v>Other Government</v>
          </cell>
        </row>
        <row r="7">
          <cell r="L7" t="str">
            <v>UNDP</v>
          </cell>
        </row>
        <row r="8">
          <cell r="L8" t="str">
            <v>Other Multilateral Organisation</v>
          </cell>
        </row>
        <row r="9">
          <cell r="M9" t="str">
            <v>Please Select…</v>
          </cell>
        </row>
        <row r="10">
          <cell r="M10" t="str">
            <v>Prevention</v>
          </cell>
        </row>
        <row r="11">
          <cell r="M11" t="str">
            <v>Treatment</v>
          </cell>
        </row>
        <row r="12">
          <cell r="M12" t="str">
            <v>Care and Support</v>
          </cell>
        </row>
        <row r="13">
          <cell r="M13" t="str">
            <v>Supportive Environment</v>
          </cell>
        </row>
        <row r="32">
          <cell r="B32" t="str">
            <v>Please Select…</v>
          </cell>
        </row>
        <row r="33">
          <cell r="B33" t="str">
            <v>Care and Support: Care and support for families and communities affected</v>
          </cell>
        </row>
        <row r="34">
          <cell r="B34" t="str">
            <v>Care and Support: Care and support for the chronically ill</v>
          </cell>
        </row>
        <row r="35">
          <cell r="B35" t="str">
            <v>Care and Support: Care and support for the chronically ill and families</v>
          </cell>
        </row>
        <row r="36">
          <cell r="B36" t="str">
            <v>Care and Support: Support for orphans and vulnerable children</v>
          </cell>
        </row>
        <row r="37">
          <cell r="B37" t="str">
            <v>HSS: Community Systems Strengthening</v>
          </cell>
        </row>
        <row r="38">
          <cell r="B38" t="str">
            <v>HSS: Human resources</v>
          </cell>
        </row>
        <row r="39">
          <cell r="B39" t="str">
            <v>HSS: Information system &amp; Operational research</v>
          </cell>
        </row>
        <row r="40">
          <cell r="B40" t="str">
            <v>HSS: Infrastructure</v>
          </cell>
        </row>
        <row r="41">
          <cell r="B41" t="str">
            <v>HSS: PAL (Practical Approach to Lung Health)</v>
          </cell>
        </row>
        <row r="42">
          <cell r="B42" t="str">
            <v>HSS: Procurement and Supply management</v>
          </cell>
        </row>
        <row r="43">
          <cell r="B43" t="str">
            <v>HSS: Service delivery</v>
          </cell>
        </row>
        <row r="44">
          <cell r="B44" t="str">
            <v>Prevention: Behavioral Change Communication - Community Outreach</v>
          </cell>
        </row>
        <row r="45">
          <cell r="B45" t="str">
            <v>Prevention: Behavioral Change Communication - Mass Media</v>
          </cell>
        </row>
        <row r="46">
          <cell r="B46" t="str">
            <v>Prevention: Blood safety and universal precautions</v>
          </cell>
        </row>
        <row r="47">
          <cell r="B47" t="str">
            <v>Prevention: Condom Distribution</v>
          </cell>
        </row>
        <row r="48">
          <cell r="B48" t="str">
            <v>Prevention: Counseling and testing</v>
          </cell>
        </row>
        <row r="49">
          <cell r="B49" t="str">
            <v>Prevention: PMTCT</v>
          </cell>
        </row>
        <row r="50">
          <cell r="B50" t="str">
            <v>Prevention: Post-exposure prophylaxis (PEP)</v>
          </cell>
        </row>
        <row r="51">
          <cell r="B51" t="str">
            <v>Prevention: Programmes for specific groups</v>
          </cell>
        </row>
        <row r="52">
          <cell r="B52" t="str">
            <v>Prevention: STI diagnosis and treatment</v>
          </cell>
        </row>
        <row r="53">
          <cell r="B53" t="str">
            <v>Prevention: Youth Education and Prevention</v>
          </cell>
        </row>
        <row r="54">
          <cell r="B54" t="str">
            <v>Supportive Environment: Adult support of youth education on condom use</v>
          </cell>
        </row>
        <row r="55">
          <cell r="B55" t="str">
            <v>Supportive Environment: Advocacy initiatives</v>
          </cell>
        </row>
        <row r="56">
          <cell r="B56" t="str">
            <v>Supportive Environment: Coordination and partnership development (national, community, public-private)</v>
          </cell>
        </row>
        <row r="57">
          <cell r="B57" t="str">
            <v>Supportive Environment: Health systems strengthening</v>
          </cell>
        </row>
        <row r="58">
          <cell r="B58" t="str">
            <v>Supportive Environment: Monitoring and evaluation and operations research</v>
          </cell>
        </row>
        <row r="59">
          <cell r="B59" t="str">
            <v>Supportive environment: Policy development including workplace policy</v>
          </cell>
        </row>
        <row r="60">
          <cell r="B60" t="str">
            <v>Supportive Environment: Procurement and supply management capacity and building</v>
          </cell>
        </row>
        <row r="61">
          <cell r="B61" t="str">
            <v>Supportive Environment: Stigma reduction and respect of confidentiality</v>
          </cell>
        </row>
        <row r="62">
          <cell r="B62" t="str">
            <v>Supportive environment: Stigma reduction in all settings</v>
          </cell>
        </row>
        <row r="63">
          <cell r="B63" t="str">
            <v>Supportive Environment: Strengthening of Civil Society</v>
          </cell>
        </row>
        <row r="64">
          <cell r="B64" t="str">
            <v>Supportive environment: Strengthening of civil society and institutional capacity building</v>
          </cell>
        </row>
        <row r="65">
          <cell r="B65" t="str">
            <v>Supportive Environment: Workplace policy and programs</v>
          </cell>
        </row>
        <row r="66">
          <cell r="B66" t="str">
            <v>TB/HIV collaborative activities: HIV care and support for HIV-positive TB patients</v>
          </cell>
        </row>
        <row r="67">
          <cell r="B67" t="str">
            <v>TB/HIV collaborative activities: Intensified case-finding among PLWHA</v>
          </cell>
        </row>
        <row r="68">
          <cell r="B68" t="str">
            <v>TB/HIV collaborative activities: Prevention of HIV in TB patients</v>
          </cell>
        </row>
        <row r="69">
          <cell r="B69" t="str">
            <v>TB/HIV collaborative activities: Prevention of opportunistic infections in PLWHA with TB</v>
          </cell>
        </row>
        <row r="70">
          <cell r="B70" t="str">
            <v>TB/HIV collaborative activities: Prevention of TB disease in PLWHA</v>
          </cell>
        </row>
        <row r="71">
          <cell r="B71" t="str">
            <v>TB/HIV collaborative activities: Provision of antiretroviral treatment for TB patients during TB treatment</v>
          </cell>
        </row>
        <row r="72">
          <cell r="B72" t="str">
            <v>Treatment: Antiretroviral treatment (ARV) and monitoring</v>
          </cell>
        </row>
        <row r="73">
          <cell r="B73" t="str">
            <v>Treatment: Antiretroviral treatment and monitoring</v>
          </cell>
        </row>
        <row r="74">
          <cell r="B74" t="str">
            <v>Treatment: Prophylaxis and treatment for opportunistic infections</v>
          </cell>
        </row>
        <row r="75">
          <cell r="B75" t="str">
            <v>Program Management and Administration</v>
          </cell>
        </row>
      </sheetData>
      <sheetData sheetId="2"/>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Programmatic Progress_1A"/>
      <sheetName val="PR_Programmatic Progress_1B"/>
      <sheetName val="PR_Grant Management_2"/>
      <sheetName val="PR_Total PR Cash Outflow_3A"/>
      <sheetName val="EFR Malaria Financial Data_3B"/>
      <sheetName val="EFR TB Financial Data_3B"/>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2">
          <cell r="A2" t="str">
            <v>Please select…</v>
          </cell>
        </row>
      </sheetData>
      <sheetData sheetId="32" refreshError="1"/>
      <sheetData sheetId="33" refreshError="1"/>
      <sheetData sheetId="34">
        <row r="1">
          <cell r="A1" t="str">
            <v>Please Select…</v>
          </cell>
        </row>
        <row r="2">
          <cell r="A2" t="str">
            <v>Prevention</v>
          </cell>
        </row>
        <row r="3">
          <cell r="A3" t="str">
            <v>Treatment</v>
          </cell>
        </row>
        <row r="4">
          <cell r="A4" t="str">
            <v>Care and Support</v>
          </cell>
        </row>
        <row r="5">
          <cell r="A5" t="str">
            <v>TB/HIV Collaborative Activities</v>
          </cell>
        </row>
        <row r="6">
          <cell r="A6" t="str">
            <v>Supportive Environment</v>
          </cell>
        </row>
        <row r="7">
          <cell r="A7" t="str">
            <v>Health System Strengthening (HSS)</v>
          </cell>
        </row>
      </sheetData>
      <sheetData sheetId="3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V AIDS_Financial Data"/>
      <sheetName val="Definitions"/>
      <sheetName val="Annex 1"/>
      <sheetName val="Annex 2"/>
      <sheetName val="Annex 3"/>
    </sheetNames>
    <sheetDataSet>
      <sheetData sheetId="0" refreshError="1"/>
      <sheetData sheetId="1" refreshError="1">
        <row r="30">
          <cell r="C30" t="str">
            <v>Please select…</v>
          </cell>
        </row>
        <row r="31">
          <cell r="C31" t="str">
            <v>Prevention: BCC - Mass media</v>
          </cell>
        </row>
        <row r="32">
          <cell r="C32" t="str">
            <v>Prevention: BCC - community outreach</v>
          </cell>
        </row>
        <row r="33">
          <cell r="C33" t="str">
            <v>Prevention: Condom distribution</v>
          </cell>
        </row>
        <row r="34">
          <cell r="C34" t="str">
            <v>Prevention: Testing and Counseling</v>
          </cell>
        </row>
        <row r="35">
          <cell r="C35" t="str">
            <v>Prevention: PMTCT</v>
          </cell>
        </row>
        <row r="36">
          <cell r="C36" t="str">
            <v>Prevention: Post-exposure prophylaxis (PEP)</v>
          </cell>
        </row>
        <row r="37">
          <cell r="C37" t="str">
            <v>Prevention: STI diagnosis and treatment</v>
          </cell>
        </row>
        <row r="38">
          <cell r="C38" t="str">
            <v>Prevention: Blood safety and universal precaution</v>
          </cell>
        </row>
        <row r="39">
          <cell r="C39" t="str">
            <v>Treatment: Antiretroviral treatment (ARV) and monitoring</v>
          </cell>
        </row>
        <row r="40">
          <cell r="B40" t="str">
            <v>Please Select…</v>
          </cell>
          <cell r="C40" t="str">
            <v>Treatment: Prophylaxis and treatment for opportunistic infections</v>
          </cell>
        </row>
        <row r="41">
          <cell r="B41" t="str">
            <v>Prevention</v>
          </cell>
          <cell r="C41" t="str">
            <v>Care and support: Care and support for the chronically ill</v>
          </cell>
        </row>
        <row r="42">
          <cell r="B42" t="str">
            <v>Treatment</v>
          </cell>
          <cell r="C42" t="str">
            <v>Care and support: Support for orphans and vulnerable children</v>
          </cell>
        </row>
        <row r="43">
          <cell r="B43" t="str">
            <v>Care and Support</v>
          </cell>
          <cell r="C43" t="str">
            <v>TB/HIV collaborative activities: TB/HIV</v>
          </cell>
        </row>
        <row r="44">
          <cell r="B44" t="str">
            <v>TB/HIV Collaborative Activities</v>
          </cell>
          <cell r="C44" t="str">
            <v>Supportive environment: Policy development including workplace policy</v>
          </cell>
        </row>
        <row r="45">
          <cell r="B45" t="str">
            <v>Supportive Environment</v>
          </cell>
          <cell r="C45" t="str">
            <v xml:space="preserve">Supportive environment: Strengthening of civil society and institutional capacity building </v>
          </cell>
        </row>
        <row r="46">
          <cell r="B46" t="str">
            <v>Health Systems Strengthening (HSS)</v>
          </cell>
          <cell r="C46" t="str">
            <v>Supportive environment: Stigma reduction in all settings</v>
          </cell>
        </row>
        <row r="47">
          <cell r="C47" t="str">
            <v>Supportive environment: Program management and administration</v>
          </cell>
        </row>
        <row r="48">
          <cell r="C48" t="str">
            <v>HSS: Service delivery</v>
          </cell>
        </row>
        <row r="49">
          <cell r="C49" t="str">
            <v>HSS: Human resources</v>
          </cell>
        </row>
        <row r="50">
          <cell r="C50" t="str">
            <v>HSS: Community Systems Strengthening</v>
          </cell>
        </row>
        <row r="51">
          <cell r="C51" t="str">
            <v>HSS: Information system &amp; Operational research</v>
          </cell>
        </row>
        <row r="52">
          <cell r="C52" t="str">
            <v>HSS: Infrastructure</v>
          </cell>
        </row>
        <row r="53">
          <cell r="C53" t="str">
            <v>HSS: Procurement and Supply management</v>
          </cell>
        </row>
        <row r="54">
          <cell r="C54" t="str">
            <v>HSS: other - specify</v>
          </cell>
        </row>
      </sheetData>
      <sheetData sheetId="2" refreshError="1"/>
      <sheetData sheetId="3" refreshError="1"/>
      <sheetData sheetId="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ARIA_Financial Data"/>
      <sheetName val="Definitions"/>
      <sheetName val="Annex 1"/>
      <sheetName val="Annex 2"/>
      <sheetName val="Annex 3"/>
    </sheetNames>
    <sheetDataSet>
      <sheetData sheetId="0"/>
      <sheetData sheetId="1">
        <row r="28">
          <cell r="C28" t="str">
            <v>Please select…</v>
          </cell>
        </row>
        <row r="29">
          <cell r="C29" t="str">
            <v>Prevention: Behavioral Change Communication - Mass Media</v>
          </cell>
        </row>
        <row r="30">
          <cell r="C30" t="str">
            <v>Prevention: Behavioral Change Communication - Community Outreach</v>
          </cell>
        </row>
        <row r="31">
          <cell r="C31" t="str">
            <v>Prevention: Insecticide-treated nets (ITNs)</v>
          </cell>
        </row>
        <row r="32">
          <cell r="C32" t="str">
            <v>Prevention: Malaria in pregnancy</v>
          </cell>
        </row>
        <row r="33">
          <cell r="C33" t="str">
            <v>Prevention: Vector control (other than ITNs)</v>
          </cell>
        </row>
        <row r="34">
          <cell r="C34" t="str">
            <v>Prevention: other - specify</v>
          </cell>
        </row>
        <row r="35">
          <cell r="C35" t="str">
            <v>Treatment: Prompt, effective antimalarial treatment</v>
          </cell>
        </row>
        <row r="36">
          <cell r="C36" t="str">
            <v>Treatment: Home-based management of malaria</v>
          </cell>
        </row>
        <row r="37">
          <cell r="C37" t="str">
            <v>Treatment: Diagnosis</v>
          </cell>
        </row>
        <row r="38">
          <cell r="C38" t="str">
            <v>Treatment: other - specify</v>
          </cell>
        </row>
        <row r="39">
          <cell r="C39" t="str">
            <v>Supportive Environment: Monitoring drug resistance</v>
          </cell>
        </row>
        <row r="40">
          <cell r="C40" t="str">
            <v>Supportive environment: Monitoring insecticide resistance</v>
          </cell>
        </row>
        <row r="41">
          <cell r="C41" t="str">
            <v>Supportive Environment: Coordination and partnership development (national, community, public-private)</v>
          </cell>
        </row>
        <row r="42">
          <cell r="C42" t="str">
            <v>Supportive environment: other - specify</v>
          </cell>
        </row>
        <row r="43">
          <cell r="C43" t="str">
            <v>Supportive environment: Program management and administration</v>
          </cell>
        </row>
        <row r="44">
          <cell r="C44" t="str">
            <v>HSS: Service delivery</v>
          </cell>
        </row>
        <row r="45">
          <cell r="C45" t="str">
            <v>HSS: Human resources</v>
          </cell>
        </row>
        <row r="46">
          <cell r="C46" t="str">
            <v>HSS: Community Systems Strengthening</v>
          </cell>
        </row>
        <row r="47">
          <cell r="C47" t="str">
            <v>HSS: Information system &amp; Operational research</v>
          </cell>
        </row>
        <row r="48">
          <cell r="C48" t="str">
            <v>HSS: Infrastructure</v>
          </cell>
        </row>
        <row r="49">
          <cell r="C49" t="str">
            <v>HSS: Procurement and Supply management</v>
          </cell>
        </row>
        <row r="50">
          <cell r="C50" t="str">
            <v>HSS: other - specify</v>
          </cell>
        </row>
      </sheetData>
      <sheetData sheetId="2"/>
      <sheetData sheetId="3"/>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_Financial Data"/>
      <sheetName val="Definitions"/>
      <sheetName val="Annex 1"/>
      <sheetName val="Annex 2"/>
      <sheetName val="Annex 3"/>
    </sheetNames>
    <sheetDataSet>
      <sheetData sheetId="0"/>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Consolidated 424A (2)"/>
      <sheetName val="Consolidated 424A (1)"/>
      <sheetName val="Summary - Contract"/>
      <sheetName val="Staff costs "/>
      <sheetName val="Travel "/>
      <sheetName val="Flights summary "/>
      <sheetName val="Equipment &amp; Supplies "/>
      <sheetName val="Consultants "/>
      <sheetName val="Publications "/>
      <sheetName val="Office Running Costs"/>
      <sheetName val="Workshops "/>
      <sheetName val="Definitions"/>
    </sheetNames>
    <sheetDataSet>
      <sheetData sheetId="0">
        <row r="18">
          <cell r="D18">
            <v>0</v>
          </cell>
          <cell r="G18">
            <v>1</v>
          </cell>
          <cell r="H18">
            <v>1</v>
          </cell>
          <cell r="I18">
            <v>1</v>
          </cell>
          <cell r="J18">
            <v>1</v>
          </cell>
          <cell r="K18">
            <v>1</v>
          </cell>
        </row>
        <row r="19">
          <cell r="D19">
            <v>0</v>
          </cell>
          <cell r="G19">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Consolidated 424A (1)"/>
      <sheetName val="Consolidated 424A (2)"/>
      <sheetName val="Summary"/>
      <sheetName val="Staff costs"/>
      <sheetName val="Travel"/>
      <sheetName val="Flights summary"/>
      <sheetName val="Supplies"/>
      <sheetName val="Grants"/>
      <sheetName val="Consultants"/>
      <sheetName val="Office running costs"/>
      <sheetName val="Publications"/>
      <sheetName val="Workshops"/>
      <sheetName val="Internal Bgt"/>
      <sheetName val="Internal Bgt Upload"/>
      <sheetName val="Налаштування"/>
      <sheetName val="Категорія витрат"/>
    </sheetNames>
    <sheetDataSet>
      <sheetData sheetId="0">
        <row r="19">
          <cell r="H19">
            <v>1</v>
          </cell>
          <cell r="I19">
            <v>1</v>
          </cell>
          <cell r="J19">
            <v>1</v>
          </cell>
          <cell r="K19">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gap analysis"/>
      <sheetName val="Guidance_gap analysis"/>
      <sheetName val="Consolidated summary budget"/>
      <sheetName val="Definitions"/>
      <sheetName val="Definitions - budget categories"/>
      <sheetName val="Financial request_PR 1"/>
      <sheetName val="Financial request_PR 2"/>
      <sheetName val="Financial request_PR 3"/>
      <sheetName val="Financial request_PR 4"/>
      <sheetName val="Financial request_PR 5"/>
      <sheetName val="Financial request_PR 6"/>
      <sheetName val="Financial request_PR 7"/>
      <sheetName val="Gudance_Financial request "/>
      <sheetName val="CCM analysis of current request"/>
      <sheetName val="Budget reallocations"/>
      <sheetName val="$Ranges$"/>
      <sheetName val="$Meta$"/>
    </sheetNames>
    <sheetDataSet>
      <sheetData sheetId="0"/>
      <sheetData sheetId="1"/>
      <sheetData sheetId="2"/>
      <sheetData sheetId="3"/>
      <sheetData sheetId="4">
        <row r="127">
          <cell r="B127" t="str">
            <v>Please Select…</v>
          </cell>
        </row>
        <row r="128">
          <cell r="B128" t="str">
            <v>HIV:Prevention</v>
          </cell>
        </row>
        <row r="129">
          <cell r="B129" t="str">
            <v>HIV:Treatment</v>
          </cell>
        </row>
        <row r="130">
          <cell r="B130" t="str">
            <v>HIV:Care and Support</v>
          </cell>
        </row>
        <row r="131">
          <cell r="B131" t="str">
            <v>HIV:TB/HIV Collaborative Activities</v>
          </cell>
        </row>
        <row r="132">
          <cell r="B132" t="str">
            <v>HIV:Supportive Environment</v>
          </cell>
        </row>
        <row r="133">
          <cell r="B133" t="str">
            <v>HIV:Health Systems Strengthening (HSS)</v>
          </cell>
        </row>
        <row r="134">
          <cell r="B134" t="str">
            <v>HIV_TB: TB Detection</v>
          </cell>
        </row>
        <row r="135">
          <cell r="B135" t="str">
            <v>HIV_TB: TB Treatment</v>
          </cell>
        </row>
        <row r="136">
          <cell r="B136" t="str">
            <v>HIV_TB: Collaborative Activities</v>
          </cell>
        </row>
        <row r="137">
          <cell r="B137" t="str">
            <v>HIV_TB: Supportive Environment</v>
          </cell>
        </row>
        <row r="138">
          <cell r="B138" t="str">
            <v>HIV_TB: Health Systems Strengthening (HSS)</v>
          </cell>
        </row>
        <row r="139">
          <cell r="B139" t="str">
            <v>Mal: Prevention</v>
          </cell>
        </row>
        <row r="140">
          <cell r="B140" t="str">
            <v>Mal: Treatment</v>
          </cell>
        </row>
        <row r="141">
          <cell r="B141" t="str">
            <v>Mal: Supportive Environment</v>
          </cell>
        </row>
        <row r="142">
          <cell r="B142" t="str">
            <v>Mal: Health Systems Strengthening (HSS)</v>
          </cell>
        </row>
        <row r="143">
          <cell r="B143" t="str">
            <v>TB Detection</v>
          </cell>
        </row>
        <row r="144">
          <cell r="B144" t="str">
            <v>TB Treatment</v>
          </cell>
        </row>
        <row r="145">
          <cell r="B145" t="str">
            <v>TB/HIV Collaborative Activities</v>
          </cell>
        </row>
        <row r="146">
          <cell r="B146" t="str">
            <v>TB: Supportive Environment</v>
          </cell>
        </row>
        <row r="147">
          <cell r="B147" t="str">
            <v>TB: Health Systems Strengthening (HSS)</v>
          </cell>
        </row>
        <row r="148">
          <cell r="B148" t="str">
            <v>HSS: Health Systems Strengthening (HSS)</v>
          </cell>
        </row>
        <row r="149">
          <cell r="B149" t="str">
            <v>HSS: Supportive Environment</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Concept Note"/>
      <sheetName val="Indicators"/>
      <sheetName val="Above allocations"/>
      <sheetName val="Prevention HIV, TB"/>
      <sheetName val="Pivot"/>
      <sheetName val="Sammary AU"/>
      <sheetName val="Base, 16 June"/>
      <sheetName val="Crimea"/>
      <sheetName val="Modules"/>
      <sheetName val="Workforce"/>
      <sheetName val="Legal barriers"/>
      <sheetName val="General assumptions"/>
      <sheetName val="Donors input"/>
      <sheetName val="TB care &amp; prev"/>
      <sheetName val="Policy"/>
      <sheetName val="M&amp;E"/>
      <sheetName val="PSM, CSS"/>
      <sheetName val="Treatment, care and support"/>
      <sheetName val="TB.HIV"/>
      <sheetName val="MDR TB"/>
      <sheetName val="Instructiones ES"/>
      <sheetName val="Instructions  FR"/>
      <sheetName val="инструкции RU"/>
      <sheetName val="Chg log"/>
      <sheetName val="Instructions EN"/>
      <sheetName val="Framework"/>
      <sheetName val="Summary budget"/>
      <sheetName val="Target assumptions - optional"/>
      <sheetName val="Cost assumptions - optional"/>
      <sheetName val="CatCmp"/>
      <sheetName val="CatModules"/>
      <sheetName val="CatInt"/>
      <sheetName val="CatImpact"/>
      <sheetName val="CatOutcome"/>
      <sheetName val="CatCoverage"/>
      <sheetName val="CatDataSrc"/>
      <sheetName val="Ctry-notMulti"/>
      <sheetName val="Definitions"/>
      <sheetName val="Translations"/>
      <sheetName val="$Ranges$"/>
      <sheetName val="$Meta$"/>
      <sheetName val="ModInCmp"/>
      <sheetName val="ImpactInCmp"/>
      <sheetName val="DataSrcInCmp"/>
      <sheetName val="OutcomeInCmp"/>
      <sheetName val="Sheet1"/>
    </sheetNames>
    <sheetDataSet>
      <sheetData sheetId="0"/>
      <sheetData sheetId="1">
        <row r="5">
          <cell r="C5" t="str">
            <v>HIV/TB</v>
          </cell>
        </row>
        <row r="7">
          <cell r="C7" t="str">
            <v>January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4">
          <cell r="J24">
            <v>2.4248040826370101</v>
          </cell>
        </row>
      </sheetData>
      <sheetData sheetId="20"/>
      <sheetData sheetId="21"/>
      <sheetData sheetId="22"/>
      <sheetData sheetId="23"/>
      <sheetData sheetId="24"/>
      <sheetData sheetId="25"/>
      <sheetData sheetId="26">
        <row r="2">
          <cell r="B2" t="str">
            <v>English</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row r="1">
          <cell r="C1">
            <v>0</v>
          </cell>
        </row>
      </sheetData>
      <sheetData sheetId="40"/>
      <sheetData sheetId="41"/>
      <sheetData sheetId="42"/>
      <sheetData sheetId="43"/>
      <sheetData sheetId="44"/>
      <sheetData sheetId="45"/>
      <sheetData sheetId="4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sheetName val="Budget"/>
      <sheetName val="New Cost Categories"/>
      <sheetName val="Actual costs R6 for EFR"/>
      <sheetName val="Лист2"/>
      <sheetName val="HIV AIDS_Financial Data_Q1"/>
      <sheetName val="HIV AIDS_Financial Data_Q2"/>
      <sheetName val="HIV AIDS_Financial Data_Q3"/>
      <sheetName val="HIV AIDS_Financial Data_Q4"/>
      <sheetName val="HIV AIDS_Financial Data_total"/>
      <sheetName val="Header"/>
      <sheetName val="ProcPlan"/>
    </sheetNames>
    <sheetDataSet>
      <sheetData sheetId="0" refreshError="1"/>
      <sheetData sheetId="1" refreshError="1"/>
      <sheetData sheetId="2" refreshError="1">
        <row r="68">
          <cell r="C68" t="str">
            <v>New Cost Category</v>
          </cell>
        </row>
        <row r="69">
          <cell r="C69" t="str">
            <v>Human Resources</v>
          </cell>
        </row>
        <row r="70">
          <cell r="C70" t="str">
            <v>Technical Assistance</v>
          </cell>
        </row>
        <row r="71">
          <cell r="C71" t="str">
            <v>Training</v>
          </cell>
        </row>
        <row r="72">
          <cell r="C72" t="str">
            <v>Health products and Health equipment</v>
          </cell>
        </row>
        <row r="73">
          <cell r="C73" t="str">
            <v>Medicines and Pharmaceutical products</v>
          </cell>
        </row>
        <row r="74">
          <cell r="C74" t="str">
            <v>Procurement and Supply management costs</v>
          </cell>
        </row>
        <row r="75">
          <cell r="C75" t="str">
            <v>Infrastructure and other equipment</v>
          </cell>
        </row>
        <row r="76">
          <cell r="C76" t="str">
            <v>Communication materials</v>
          </cell>
        </row>
        <row r="77">
          <cell r="C77" t="str">
            <v>Monitoring and evaluation</v>
          </cell>
        </row>
        <row r="78">
          <cell r="C78" t="str">
            <v>Living support to clients</v>
          </cell>
        </row>
        <row r="79">
          <cell r="C79" t="str">
            <v>Planning and Administration</v>
          </cell>
        </row>
        <row r="80">
          <cell r="C80" t="str">
            <v>Overheads</v>
          </cell>
        </row>
        <row r="81">
          <cell r="C81" t="str">
            <v>Other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L-USD"/>
      <sheetName val="New Cost Categories"/>
      <sheetName val="New Macro Category and SDA"/>
    </sheetNames>
    <sheetDataSet>
      <sheetData sheetId="0"/>
      <sheetData sheetId="1">
        <row r="68">
          <cell r="C68" t="str">
            <v>New Cost Category</v>
          </cell>
        </row>
        <row r="69">
          <cell r="C69" t="str">
            <v>Please select</v>
          </cell>
        </row>
        <row r="70">
          <cell r="C70" t="str">
            <v>Human Resources</v>
          </cell>
        </row>
        <row r="71">
          <cell r="C71" t="str">
            <v>Technical Assistance</v>
          </cell>
        </row>
        <row r="72">
          <cell r="C72" t="str">
            <v>Training</v>
          </cell>
        </row>
        <row r="73">
          <cell r="C73" t="str">
            <v>Health products and Health equipment</v>
          </cell>
        </row>
        <row r="74">
          <cell r="C74" t="str">
            <v>Medicines and Pharmaceutical products</v>
          </cell>
        </row>
        <row r="75">
          <cell r="C75" t="str">
            <v>Procurement and Supply management costs</v>
          </cell>
        </row>
        <row r="76">
          <cell r="C76" t="str">
            <v>Infrastructure and other equipment</v>
          </cell>
        </row>
        <row r="77">
          <cell r="C77" t="str">
            <v>Communication materials</v>
          </cell>
        </row>
        <row r="78">
          <cell r="C78" t="str">
            <v>Monitoring and evaluation</v>
          </cell>
        </row>
        <row r="79">
          <cell r="C79" t="str">
            <v>Living support to clients</v>
          </cell>
        </row>
        <row r="80">
          <cell r="C80" t="str">
            <v>Planning and Administration</v>
          </cell>
        </row>
        <row r="81">
          <cell r="C81" t="str">
            <v>Overheads</v>
          </cell>
        </row>
        <row r="82">
          <cell r="C82" t="str">
            <v>Other</v>
          </cell>
        </row>
      </sheetData>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real dollars)"/>
      <sheetName val="BUDGET (nominal dollars)"/>
      <sheetName val=" IA-Summary by OB &amp; SDA"/>
      <sheetName val=" IA-Summary by SDA (5.4)"/>
      <sheetName val="PR SUMMARY"/>
      <sheetName val="OB1"/>
      <sheetName val="OB2"/>
      <sheetName val="OB3"/>
      <sheetName val="OB4"/>
      <sheetName val="OB5"/>
      <sheetName val="BA-OB1"/>
      <sheetName val="BA-OB2-ENG"/>
      <sheetName val="BA-OB3-ENG"/>
      <sheetName val="BA-OB4-ENG"/>
      <sheetName val="BA OB5 Final"/>
    </sheetNames>
    <sheetDataSet>
      <sheetData sheetId="0"/>
      <sheetData sheetId="1"/>
      <sheetData sheetId="2"/>
      <sheetData sheetId="3"/>
      <sheetData sheetId="4"/>
      <sheetData sheetId="5"/>
      <sheetData sheetId="6">
        <row r="5">
          <cell r="G5" t="str">
            <v>Service Delivery Areas (SDAs)</v>
          </cell>
          <cell r="H5" t="str">
            <v>Description of Units</v>
          </cell>
          <cell r="T5" t="str">
            <v>Costing assumptions</v>
          </cell>
        </row>
        <row r="14">
          <cell r="G14" t="str">
            <v>Advocate for and technically support ARV price reductions  through work with WHO, Clinton Foundation and other potential partners</v>
          </cell>
          <cell r="H14" t="str">
            <v>Low price drugs available with annual review</v>
          </cell>
          <cell r="T14" t="str">
            <v xml:space="preserve">As the level of effort changes over time a single unit cost cannot be applied for this line. Please refer to budget assumptions for detail on unit costs etc. </v>
          </cell>
        </row>
        <row r="15">
          <cell r="G15" t="str">
            <v>The PR will convene a workshop including representatives from National AIDS Centers, Oblast coordinating councils, local coordinated care network prepresentatives and MOH to consider expansion of sites to deliver ART</v>
          </cell>
          <cell r="H15" t="str">
            <v>Workshop covened</v>
          </cell>
          <cell r="T15" t="str">
            <v>Workshop for 50 people for 3 days, per diem/accomodation per person per day=50 USD, travel per person 50 USD, rent of equipment and premises and logistics = 1000 USD per day</v>
          </cell>
        </row>
        <row r="16">
          <cell r="G16" t="str">
            <v xml:space="preserve">Develop a proposal to change exisiting legislation/procedures to allow distribution and enhanced access to ART at the local level </v>
          </cell>
          <cell r="H16" t="str">
            <v>Proposal developed and approved</v>
          </cell>
          <cell r="T16" t="str">
            <v>Duty of PR</v>
          </cell>
        </row>
        <row r="20">
          <cell r="G20" t="str">
            <v>MOH will convene a working group with technical assistance of the PR to develop/revise clinical protocols every two years</v>
          </cell>
          <cell r="H20" t="str">
            <v>TA for working group</v>
          </cell>
          <cell r="T20" t="str">
            <v xml:space="preserve">include 500 USD for national experts and 50 USD for editting for each of 5 protocol (ART for adults, HIV care for IDU, HIV/Hep co-infection, HIV/TB co-infection, OI) </v>
          </cell>
        </row>
        <row r="21">
          <cell r="H21" t="str">
            <v>Publication and distribution of protocol</v>
          </cell>
          <cell r="T21" t="str">
            <v>Printing and distribution at 8USD per copy</v>
          </cell>
        </row>
        <row r="22">
          <cell r="G22" t="str">
            <v xml:space="preserve">PR staff inputs in implementation of the component: technical support, documentation, dissemination, development of standard tools, formats and documents for programme design, implementation, monitoring and reporting.  </v>
          </cell>
          <cell r="H22" t="str">
            <v xml:space="preserve">As the level of effort changes over time a single unit cost cannot be applied for this line. Please refer to budget assumptions for detail on unit costs etc. </v>
          </cell>
          <cell r="T22" t="str">
            <v xml:space="preserve">As the level of effort changes over time a single unit cost cannot be applied for this line. Please refer to budget assumptions for detail on unit costs etc. </v>
          </cell>
        </row>
        <row r="26">
          <cell r="G26" t="str">
            <v>Provide anti-retroviral drugs for 5000 vulnerable patients including 500 patient in prison system</v>
          </cell>
          <cell r="H26" t="str">
            <v xml:space="preserve">per patient per year </v>
          </cell>
          <cell r="T26" t="str">
            <v>see detailed modeling in attachment. Scale up includes new ART patients from ST program, clinics and prison (1 year - 600 new patient; 2 year - 800; 3 year - 1000; 4 year 1200; 5 year - 1400)</v>
          </cell>
        </row>
        <row r="27">
          <cell r="G27" t="str">
            <v>Increase and maintain number of ART treatment sites</v>
          </cell>
          <cell r="H27" t="str">
            <v>new ART sites cumulative</v>
          </cell>
          <cell r="T27" t="str">
            <v>Treatment provided by AIDS centres, staffing and running costs covered by State HIV budget</v>
          </cell>
        </row>
        <row r="28">
          <cell r="G28" t="str">
            <v>Assess and monitor patients being put on ART and continuing on ART</v>
          </cell>
          <cell r="H28" t="str">
            <v>package of monitoring activities per patient per year</v>
          </cell>
          <cell r="T28" t="str">
            <v>Costs in assumptions and include laboratory monitoring with CD4 count four time per year (5 USD per test) and VL once a year (95 USD per test)</v>
          </cell>
        </row>
        <row r="29">
          <cell r="G29" t="str">
            <v>Assess and monitor patients being put on ART and continuing on ART in prisons</v>
          </cell>
          <cell r="H29" t="str">
            <v>package of monitoring activities per patient in prison per year</v>
          </cell>
          <cell r="T29" t="str">
            <v>Costs in assumptions and include laboratory monitoring with CD4 count four time per year (5 USD per test) and VL once a year (95 USD per test)</v>
          </cell>
        </row>
        <row r="33">
          <cell r="G33" t="str">
            <v>PR will establish a transparent process for the procurement and management of ART</v>
          </cell>
          <cell r="H33" t="str">
            <v>process established and reveiwed annually</v>
          </cell>
          <cell r="T33" t="str">
            <v>PR duty</v>
          </cell>
        </row>
        <row r="34">
          <cell r="G34" t="str">
            <v>Procurement overhead, drug distribution and storage</v>
          </cell>
          <cell r="H34" t="str">
            <v>procurement  cost (4%)</v>
          </cell>
          <cell r="T34" t="str">
            <v>4% of ARV purchase price, based on 2005 implementation budget</v>
          </cell>
        </row>
        <row r="35">
          <cell r="G35" t="str">
            <v>PR will create or identify a supply management system that accurately forcasts ARV usage to reduce stock outs</v>
          </cell>
          <cell r="H35" t="str">
            <v>System in place</v>
          </cell>
          <cell r="T35" t="str">
            <v>PR duty</v>
          </cell>
        </row>
        <row r="36">
          <cell r="G36" t="str">
            <v>Determine the feasibility of creating a role for pharmacists in the management and distribution of ARV</v>
          </cell>
          <cell r="H36" t="str">
            <v>Feasibility study</v>
          </cell>
          <cell r="T36" t="str">
            <v>cost is assumption and include working group meeting for 500 USD and international support@ 300 USD for 10 days</v>
          </cell>
        </row>
        <row r="37">
          <cell r="G37" t="str">
            <v>Implement pharmacist role in integrated sites and pilot in 2 sites</v>
          </cell>
          <cell r="H37" t="str">
            <v>Pharmacist pilot programme</v>
          </cell>
          <cell r="T37" t="str">
            <v>cost include salary for pharmacist (3600 USD per year) and 4 TA visits per site per year (It is estimated that one day of TA visit per person: travel is 50 USD per person, per diem 50 USD per person, accomodation is 60 USD per day per person = 160 USD. It</v>
          </cell>
        </row>
        <row r="38">
          <cell r="G38" t="str">
            <v xml:space="preserve">PR staff inputs in implementation of the component: technical support, documentation, dissemination, development of standard tools, formats and documents for programme design, implementation, monitoring and reporting.  </v>
          </cell>
          <cell r="H38" t="str">
            <v xml:space="preserve">As the level of effort changes over time a single unit cost cannot be applied for this line. Please refer to budget assumptions for detail on unit costs etc. </v>
          </cell>
          <cell r="T38" t="str">
            <v xml:space="preserve">As the level of effort changes over time a single unit cost cannot be applied for this line. Please refer to budget assumptions for detail on unit costs etc. </v>
          </cell>
        </row>
        <row r="42">
          <cell r="G42" t="str">
            <v>Identify key needs of a reporting and tracking system for patients with HIV through an expert working group</v>
          </cell>
          <cell r="H42" t="str">
            <v xml:space="preserve">Working group with key experts  </v>
          </cell>
          <cell r="T42" t="str">
            <v>assumed working group meeting 500 USD and monitoring visit to 6 sites (one day visit for two person per site: travel is 50 USD per person, per diem 50 USD per person, accomodation is 60 USD per day per person = 160 USD per person)</v>
          </cell>
        </row>
        <row r="43">
          <cell r="G43" t="str">
            <v xml:space="preserve">Compare current software parameters and identify if an upgrade or new software is needed. </v>
          </cell>
          <cell r="H43" t="str">
            <v>software analysis</v>
          </cell>
          <cell r="T43" t="str">
            <v>cost is assumption and include working group meeting for 500 USD and international support@ 300 USD for 3 days</v>
          </cell>
        </row>
        <row r="44">
          <cell r="G44" t="str">
            <v>Purchase and/or upgrade system and implement by 2009</v>
          </cell>
          <cell r="H44" t="str">
            <v>Purchase chosen upgrade or new system</v>
          </cell>
          <cell r="T44" t="str">
            <v>based on Rd1 implementation budget</v>
          </cell>
        </row>
        <row r="45">
          <cell r="G45" t="str">
            <v>PR to be responsible for the implementation of data input from local networks</v>
          </cell>
          <cell r="H45" t="str">
            <v>Technical training (including confidentiality issues) for data input personnel</v>
          </cell>
          <cell r="T45" t="str">
            <v>3 days training for 10 participants from new sites of software implementation ( per diem/accomodation per person per day=50 USD, travel per person 50 USD, rent of equipment and premises and logistics = 500 USD per day)</v>
          </cell>
        </row>
        <row r="46">
          <cell r="G46" t="str">
            <v>Distribution of software to key trained personnel responsible for data input at the local networks</v>
          </cell>
          <cell r="H46" t="str">
            <v xml:space="preserve">Distribute number of copies of software </v>
          </cell>
          <cell r="T46" t="str">
            <v>cost is assumption and include PC purchasing (800 USD per site) and software product maintenance (500 USD per year per site)</v>
          </cell>
        </row>
        <row r="47">
          <cell r="G47" t="str">
            <v>Evaluate effectiveness of patient tracking system</v>
          </cell>
          <cell r="H47" t="str">
            <v>Evaluation of program</v>
          </cell>
          <cell r="T47" t="str">
            <v>It is estimated on one day mission for two persons: travel is 50 USD per person, per diem 50 USD per person, accomodation is 60 USD per day per person = 160 USD per person per site</v>
          </cell>
        </row>
        <row r="48">
          <cell r="G48" t="str">
            <v>Support devleopment and implementation of national ARV drug resistance programme</v>
          </cell>
          <cell r="H48" t="str">
            <v>cohort survey on drug resistance</v>
          </cell>
          <cell r="T48" t="str">
            <v xml:space="preserve">it is estimated and investigation 50 patients per site for 150USD per patient, transportation, equipment maintanence and administrative expenses 3000USD per site and lab staff salary (3 person*300*11 month) in 6 sites   </v>
          </cell>
        </row>
        <row r="52">
          <cell r="G52" t="str">
            <v>Management fee</v>
          </cell>
          <cell r="H52" t="str">
            <v>lump sum per year</v>
          </cell>
          <cell r="T52" t="str">
            <v>Includes staff salaries, office expenses, based on Rd 1 implementation budget</v>
          </cell>
        </row>
        <row r="56">
          <cell r="G56" t="str">
            <v>Management fee</v>
          </cell>
          <cell r="H56" t="str">
            <v>lump sum per yaer</v>
          </cell>
          <cell r="T56" t="str">
            <v>Includes staff salaries, office expenses, based on Rd 1 implementation budget</v>
          </cell>
        </row>
        <row r="60">
          <cell r="G60" t="str">
            <v xml:space="preserve">Hold training workshops on TB co-infection and ST for 14 network care teams trained in ART in Rnd 1. = 2 workshops    </v>
          </cell>
          <cell r="H60" t="str">
            <v>5 day Training Workshops</v>
          </cell>
          <cell r="T60" t="str">
            <v xml:space="preserve"> Each expanded care team includes infectionists, narcologists, TB doc, social worker/counselor and case manager   </v>
          </cell>
        </row>
        <row r="61">
          <cell r="G61" t="str">
            <v xml:space="preserve">Hold training workshops on ART for IDU's on ST and TB for 27 network care teams trained in Rnd 1. =4 workshops </v>
          </cell>
          <cell r="H61" t="str">
            <v>5 day Training Workshops</v>
          </cell>
          <cell r="T61" t="str">
            <v xml:space="preserve"> Each expanded care team includes infectionists, narcologists, TB doc, social worker/counselor and case manager   </v>
          </cell>
        </row>
        <row r="62">
          <cell r="G62" t="str">
            <v>Hold refresher course for 16 care teams fully trained in Rnd 1 to emphasize network concepts = 3 workshops</v>
          </cell>
          <cell r="H62" t="str">
            <v>5 day Training Workshops</v>
          </cell>
          <cell r="T62" t="str">
            <v xml:space="preserve"> Each expanded care team includes infectionists, narcologists, TB doc, social worker/counselor and case manager   </v>
          </cell>
        </row>
        <row r="63">
          <cell r="G63" t="str">
            <v xml:space="preserve">Hold series (of 2) training workshops for each of an additional 72 new and expanded care teams in initiation of ART/TB/ST and advanced ART/TB/ST so as to cover all networks. = 24 workshops total. </v>
          </cell>
          <cell r="H63" t="str">
            <v>5 day Training Workshops</v>
          </cell>
          <cell r="T63" t="str">
            <v xml:space="preserve"> Each expanded care team includes infectionists, narcologists, TB doc, social worker/counselor and case manager   </v>
          </cell>
        </row>
        <row r="64">
          <cell r="G64" t="str">
            <v xml:space="preserve">Establish and further develop the National Training Center </v>
          </cell>
          <cell r="H64" t="str">
            <v xml:space="preserve">National Training Center will be registered as ICF/TBD national legal entity </v>
          </cell>
          <cell r="T64" t="str">
            <v>cost estimated in budget assumption</v>
          </cell>
        </row>
        <row r="65">
          <cell r="G65" t="str">
            <v>Expand current mentoring/preceptorship program to reach all 100 networks</v>
          </cell>
          <cell r="H65" t="str">
            <v>3-day mentoring/preceptorship site visits to 1 network site</v>
          </cell>
          <cell r="T65" t="str">
            <v>Mentoring will be condcuted by 2 national mentors/faculty AND costs defined in assumption</v>
          </cell>
        </row>
        <row r="70">
          <cell r="G70" t="str">
            <v>Support and technical assistance</v>
          </cell>
          <cell r="H70" t="str">
            <v>lump sum per site</v>
          </cell>
          <cell r="T70" t="str">
            <v>Costs include site maintenance, preparation for storage, training, ARV tracking system in place. It is estimated on Rd 1implementation budget</v>
          </cell>
        </row>
        <row r="74">
          <cell r="G74" t="str">
            <v>Networks will apply to become pilot sites. A medical facility (HIV/AIDS, TB or narcology) within the network will show readiness to distribute ARV (to include specialist training,  ARV storage and monitoring plans)</v>
          </cell>
          <cell r="H74" t="str">
            <v>lump sum per site</v>
          </cell>
          <cell r="T74" t="str">
            <v>Costs include site maintenance, preparation for storage, training, ARV tracking system in place. It is estimated on Rd 1implementation budget</v>
          </cell>
        </row>
        <row r="75">
          <cell r="G75" t="str">
            <v>Sites will be evaluated for quality of care, appropriateness of ARV use and patient satisfaction. Indicators may be used as basis for operational research.</v>
          </cell>
          <cell r="H75" t="str">
            <v>lump sum per year</v>
          </cell>
          <cell r="T75" t="str">
            <v xml:space="preserve">includes international expert (10 days at 300), site travel (5,000), local research teams (6000) </v>
          </cell>
        </row>
        <row r="84">
          <cell r="G84" t="str">
            <v>Medical facilities, as part of network development, will enhance/combine/ or develop official referral patterns to provide care for needs of those HIV infected to include ART/OI/STI</v>
          </cell>
          <cell r="T84" t="str">
            <v>covered in coordination SDA</v>
          </cell>
        </row>
        <row r="85">
          <cell r="G85" t="str">
            <v>Document created and signed between service providers and network</v>
          </cell>
          <cell r="H85" t="str">
            <v>network service</v>
          </cell>
          <cell r="T85" t="str">
            <v>part of network services</v>
          </cell>
        </row>
        <row r="89">
          <cell r="G89" t="str">
            <v>Provide PCP prophylaxis for new patients on ART including patient in prison department</v>
          </cell>
          <cell r="H89" t="str">
            <v>per patient per year</v>
          </cell>
          <cell r="T89" t="str">
            <v>See assumptions for provision of PCP prophylaxis. Cost based on 1 year of Trimethoprim/ Sulfamethoxazole taken 3 times per week (price for 1 tab of Trimethoprim/ Sulfamethoxazole is $0,05).</v>
          </cell>
        </row>
        <row r="90">
          <cell r="G90" t="str">
            <v>Provide PCP treatment for patients on ART including patient in prison department</v>
          </cell>
          <cell r="H90" t="str">
            <v>per patient per year</v>
          </cell>
          <cell r="T90" t="str">
            <v>See assumptions for provision of PCP treatment. Cost based on Trimethoprim/Sulfamethoxazole treatment of 2 times a day for 21 days.(price for 1 tab of Trimethoprim/ Sulfamethoxazole is $0,05).</v>
          </cell>
        </row>
        <row r="91">
          <cell r="G91" t="str">
            <v>Provide Diflucan for new patients on ART including patient in prison department</v>
          </cell>
          <cell r="H91" t="str">
            <v>per patient per year</v>
          </cell>
          <cell r="T91" t="str">
            <v>See assumptions for candidiasis treatment. Cost based on Diflucan 100 mg given for 7 days.(price for 1 capsule of Diflucan is $1,9).</v>
          </cell>
        </row>
        <row r="92">
          <cell r="G92" t="str">
            <v>Provide Diflucan for patients on ART with serious disease including patient in prison department</v>
          </cell>
          <cell r="H92" t="str">
            <v>per patient per course</v>
          </cell>
          <cell r="T92" t="str">
            <v>See assumptions for candidiasis treatment. Cost based on Diflucan 100 mg given for 10 days. (price for 1 capsule of Diflucan is $1,9).</v>
          </cell>
        </row>
        <row r="93">
          <cell r="G93" t="str">
            <v>Provide Miconazole troches for patients on ART including patient in prison department</v>
          </cell>
          <cell r="H93" t="str">
            <v>per patient per course</v>
          </cell>
          <cell r="T93" t="str">
            <v>See assumptions for candidiasis treatment. Cost based on Miconazole troches (either oral or vaginal) taken once a day for 14 days. Price for Miconazole is $0,02</v>
          </cell>
        </row>
        <row r="97">
          <cell r="G97" t="str">
            <v>Provide Cephepime for new patient on ART</v>
          </cell>
          <cell r="H97" t="str">
            <v>per patient per course</v>
          </cell>
          <cell r="T97" t="str">
            <v>See assumptions for bacterial infection treatment. Cost based on Cephepime 1,0 g twice a day given for 21 days.(price for 1 bottle of Cephepim is $11,49).</v>
          </cell>
        </row>
        <row r="98">
          <cell r="G98" t="str">
            <v>Provide Azithromycin for new patient on ART</v>
          </cell>
          <cell r="H98" t="str">
            <v>per patient per course</v>
          </cell>
          <cell r="T98" t="str">
            <v>See assumptions for bacterial infection treatment. Cost based on Azithromycin 500 mg once a day in day 1 and 250 mg once a day given for next 6 days.(price for 1 tab of Azythromycin is $0,95).</v>
          </cell>
        </row>
        <row r="99">
          <cell r="G99" t="str">
            <v>Provide Moxifloxacin for new patient on ART</v>
          </cell>
          <cell r="H99" t="str">
            <v>per patient per course</v>
          </cell>
          <cell r="T99" t="str">
            <v>See assumptions for bacterial infection treatment. Cost based on Moxifloxacin 0,4 g once a day given for 14 days.(price for 1 tab of Moxifloxacin is $5).</v>
          </cell>
        </row>
        <row r="100">
          <cell r="G100" t="str">
            <v>Provide Amikacin for new patient on ART</v>
          </cell>
          <cell r="H100" t="str">
            <v>per patient per course</v>
          </cell>
          <cell r="T100" t="str">
            <v>See assumptions for bacterial infection treatment. Cost based on Amikacin 1,0 g once a day given for 14 days.(price for 1 bottle of Amikacin is $1,5).</v>
          </cell>
        </row>
        <row r="101">
          <cell r="G101" t="str">
            <v xml:space="preserve">Procurement overhead, drug distribution and storage </v>
          </cell>
          <cell r="H101" t="str">
            <v>procurement  cost (4%)</v>
          </cell>
          <cell r="T101" t="str">
            <v>4 % overheads for procurement and distribution, based on 2005 implementation budget</v>
          </cell>
        </row>
        <row r="108">
          <cell r="G108" t="str">
            <v>Support working group of TB/HIV/narcology specialists and representatives of vulnerable groups and related NGOs to develop draft protocol on mgmt of co-infection</v>
          </cell>
          <cell r="H108" t="str">
            <v>meetings</v>
          </cell>
          <cell r="T108" t="str">
            <v>1st draft developed by small working group of 10 people for 3 meetings of one day duration with WHO technical assistance</v>
          </cell>
        </row>
        <row r="109">
          <cell r="G109" t="str">
            <v>Workshop convened to discuss, revise and approve protocol</v>
          </cell>
          <cell r="H109" t="str">
            <v>Workshop</v>
          </cell>
          <cell r="T109" t="str">
            <v>Workshop for 50 people for 3 days, per diem/accomodation per person per day=50 USD, travel per person 50 USD, rent of equipment and premises and logistics = 1000 USD per day</v>
          </cell>
        </row>
        <row r="110">
          <cell r="G110" t="str">
            <v>Printing and distribution to TB, HIV/AIDS and narcology centers. Copies available for NGOs and networks.</v>
          </cell>
          <cell r="H110" t="str">
            <v>document copy</v>
          </cell>
          <cell r="T110" t="str">
            <v>Printing and distribution at 8USD per copy</v>
          </cell>
        </row>
        <row r="111">
          <cell r="G111" t="str">
            <v>Conduct series training workshops for expanded care teams in protocol for implementation of TB/HIV co-infection = 27 workshops total</v>
          </cell>
          <cell r="H111" t="str">
            <v>5 day Training Workshops</v>
          </cell>
          <cell r="T111" t="str">
            <v>Training to cover multi-city oblast teams of infectionists, TB doc, social worker/counselor, case manager, and NGO representatives, where appropriate</v>
          </cell>
        </row>
        <row r="115">
          <cell r="G115" t="str">
            <v>PR and MOH wll assess network readiness by availability of TB/HIV/and narcology services within one area</v>
          </cell>
          <cell r="H115" t="str">
            <v>Support per local network</v>
          </cell>
          <cell r="T115" t="str">
            <v>working group meeting to discuss readiness of network</v>
          </cell>
        </row>
        <row r="116">
          <cell r="G116" t="str">
            <v xml:space="preserve">Network providers and prison officials sign agreement to implement protocol for management HIV/IDUs with TB, network organizer will prepare agreement and get signatures </v>
          </cell>
          <cell r="H116" t="str">
            <v>n/a</v>
          </cell>
          <cell r="T116" t="str">
            <v xml:space="preserve">working group meeting </v>
          </cell>
        </row>
        <row r="117">
          <cell r="G117" t="str">
            <v>Identify and support sites for piloting DOTS among TB/HIV co-infected patients within a coordinated/integrated care system</v>
          </cell>
          <cell r="H117" t="str">
            <v>network</v>
          </cell>
          <cell r="T117" t="str">
            <v>covered by salary network organisers</v>
          </cell>
        </row>
        <row r="118">
          <cell r="G118" t="str">
            <v xml:space="preserve">Support onsite implementation of protocols for TB/HIV co-infection in up to 100 local coordinated care networks (including performance goal setting, agreements etc.) </v>
          </cell>
          <cell r="H118" t="str">
            <v>network</v>
          </cell>
          <cell r="T118" t="str">
            <v>covered by salary network organisers</v>
          </cell>
        </row>
        <row r="122">
          <cell r="G122" t="str">
            <v>Identify procurement concerns for ordering sputum collection kits and other diagnostic kits and propose distribution plan</v>
          </cell>
          <cell r="H122" t="str">
            <v>PR to take lead with procurement group on resolving barriers (TA)</v>
          </cell>
          <cell r="T122" t="str">
            <v xml:space="preserve">working group meeting </v>
          </cell>
        </row>
        <row r="123">
          <cell r="G123" t="str">
            <v>Procure supplies for diagnosis of TB (sputum cups) and utilize for appropriate differentiation of active vs. inactive TB (per protocol)</v>
          </cell>
          <cell r="H123" t="str">
            <v>per patient (assume 40% of patients assessed)</v>
          </cell>
          <cell r="T123" t="str">
            <v>clinical symptoms and X-ray should be covered by MoH/ Sputum collection kits include three sputum bottle for patients for 0&lt;6 USD per patient</v>
          </cell>
        </row>
        <row r="124">
          <cell r="G124" t="str">
            <v>Procure containers for sample transportation</v>
          </cell>
          <cell r="H124" t="str">
            <v>1 container per 40 samples</v>
          </cell>
          <cell r="T124" t="str">
            <v>2 container per facilities per site</v>
          </cell>
        </row>
        <row r="125">
          <cell r="G125" t="str">
            <v xml:space="preserve">Procure supplies for diagnosis of extrapulmonary TB in patients with fewer </v>
          </cell>
          <cell r="H125" t="str">
            <v>test per year</v>
          </cell>
          <cell r="T125" t="str">
            <v xml:space="preserve">It is assumtion. Cost based on test-kit prices as 12,5 USD to scale up diagnosis of extrapulmonary TB in HIV-positive patients </v>
          </cell>
        </row>
        <row r="126">
          <cell r="G126" t="str">
            <v>Procure supplies for diagnosis 1 line TB drug resistance</v>
          </cell>
          <cell r="H126" t="str">
            <v>test per year</v>
          </cell>
          <cell r="T126" t="str">
            <v>It is assumtion. Cost based on test-kit price as 29,5 USD for 10% of patients who starts DOTS</v>
          </cell>
        </row>
        <row r="127">
          <cell r="G127" t="str">
            <v>Procure hepafilter for BACTEK machine maintenance</v>
          </cell>
          <cell r="H127" t="str">
            <v>per machine</v>
          </cell>
          <cell r="T127" t="str">
            <v>five filters for each machine by 125 USD once per five year</v>
          </cell>
        </row>
        <row r="128">
          <cell r="G128" t="str">
            <v xml:space="preserve">Procurement overhead, drug distribution and storage </v>
          </cell>
          <cell r="H128" t="str">
            <v>procurement  cost (4%)</v>
          </cell>
          <cell r="T128" t="str">
            <v>based on 2005 implementation budget</v>
          </cell>
        </row>
        <row r="134">
          <cell r="G134" t="str">
            <v xml:space="preserve">Maintain substitution treatment coordination group, providing administrative support, secretariat for the expert council, ongoing technical, scientific and methodological site support </v>
          </cell>
          <cell r="H134" t="str">
            <v>Coordination group costs</v>
          </cell>
          <cell r="T134" t="str">
            <v>Synergies in year 1 and 2 due to GFATM Rd 1 implementation; Project director 1500@month, coordinators: on integration, regional, operational research (@800/month), accountant @400/month, secretary @300/month, IT manager @300/month, 35% taxation</v>
          </cell>
        </row>
        <row r="135">
          <cell r="G135" t="str">
            <v>External technical assistance for development and implementation for drug substitution strategy and workplan</v>
          </cell>
          <cell r="H135" t="str">
            <v>Lump sum per year</v>
          </cell>
          <cell r="T135" t="str">
            <v>includes 5,000 for travel and 5,000 for on site consultancy time (50 days @ 100 USD)</v>
          </cell>
        </row>
        <row r="136">
          <cell r="G136" t="str">
            <v>Maintain expert council on substitution treatment, regular monthly meetings</v>
          </cell>
          <cell r="H136" t="str">
            <v>Honorarium per expert</v>
          </cell>
          <cell r="T136" t="str">
            <v>Synergies in year 1 and 2 due to GFATM Rd 1 implemenation; Honorarium per exert per year 100 @ 20 USD/hour plus 35% tax</v>
          </cell>
        </row>
        <row r="137">
          <cell r="G137" t="str">
            <v xml:space="preserve">Upgrade capacity of existing Ukrainain Resources Centre on Substitution Treatment to cover issues related to integrated services for HIV/TB/ST </v>
          </cell>
          <cell r="H137" t="str">
            <v>lump sum support</v>
          </cell>
          <cell r="T137" t="str">
            <v>3 computers, literature, development of information and training material</v>
          </cell>
        </row>
        <row r="138">
          <cell r="G138" t="str">
            <v>Provide maintanaince support to Ukrainian ST Resource Centre (as of 2009)</v>
          </cell>
          <cell r="H138" t="str">
            <v>lump sum per year</v>
          </cell>
          <cell r="T138" t="str">
            <v>Communications, website, office material, publications, rent of premises (staff covered by coordination group)</v>
          </cell>
        </row>
        <row r="139">
          <cell r="G139" t="str">
            <v>Regularly revise national drug substitution treatment protocols</v>
          </cell>
          <cell r="H139" t="str">
            <v>Protocols revised</v>
          </cell>
          <cell r="T139" t="str">
            <v>covered through coordination group and expert council</v>
          </cell>
        </row>
        <row r="140">
          <cell r="G140" t="str">
            <v xml:space="preserve">PR staff inputs in implementation of the component: technical support, documentation, dissemination, development of standard tools, formats and documents for programme design, implementation, monitoring and reporting.  </v>
          </cell>
          <cell r="H140" t="str">
            <v xml:space="preserve">As the level of effort changes over time a single unit cost cannot be applied for this line. Please refer to budget assumptions for detail on unit costs etc. </v>
          </cell>
          <cell r="T140" t="str">
            <v xml:space="preserve">As the level of effort changes over time a single unit cost cannot be applied for this line. Please refer to budget assumptions for detail on unit costs etc. </v>
          </cell>
        </row>
        <row r="144">
          <cell r="G144" t="str">
            <v>Procure ST drugs</v>
          </cell>
          <cell r="H144" t="str">
            <v>Patients served</v>
          </cell>
          <cell r="T144" t="str">
            <v>budgeted below</v>
          </cell>
        </row>
        <row r="145">
          <cell r="G145" t="str">
            <v>Cover staff salaries of multidisciplinary teams in 30 project sites</v>
          </cell>
          <cell r="H145" t="str">
            <v>Staff costs per site per year</v>
          </cell>
          <cell r="T145" t="str">
            <v xml:space="preserve">monthly salaries based on 2005 implementation report, see budget assumptions sheet (0.5 FTE*2 narcologists@ 300, 0.1 infectionist @ 300, 2 nurse @ 150, 1 case manager @ 200, 1 peer counsellor @200, 1 coordinator @250, accountant 0.2 @ 250+ taxation 35%) </v>
          </cell>
        </row>
        <row r="146">
          <cell r="G146" t="str">
            <v>Provide consumables and support maintenance of infrastructure</v>
          </cell>
          <cell r="H146" t="str">
            <v>Costs per site per year</v>
          </cell>
          <cell r="T146" t="str">
            <v>based on 2005 implementation report, see budget assumptions sheet (including clinic and office supplies)</v>
          </cell>
        </row>
        <row r="147">
          <cell r="G147" t="str">
            <v>Provide continued education for substitution site staff</v>
          </cell>
          <cell r="H147" t="str">
            <v>Training events</v>
          </cell>
          <cell r="T147" t="str">
            <v xml:space="preserve">35 participants: transportation 40 USD, accomadation 35 * 2 nights, meals 30 *2 days, equipment 200, handouts 150, rent 400, trainer honorarium 200 </v>
          </cell>
        </row>
        <row r="151">
          <cell r="G151" t="str">
            <v>Establish and maintain multidisciplinary teams in project sites</v>
          </cell>
          <cell r="H151" t="str">
            <v>Staff costs per site per year</v>
          </cell>
          <cell r="T151" t="str">
            <v xml:space="preserve">monthly salaries based on 2005 implementation report, see budget assumptions sheet (0.5 FTE*2 narcologists@ 300, 0.1 infectionist @ 300, 2 nurse @ 150, 1 case manager @ 200, 1 peer counsellor @200, 1 coordinator @250, accountant 0.2 @ 250+ taxation 35%) </v>
          </cell>
        </row>
        <row r="152">
          <cell r="G152" t="str">
            <v>Support for site preparation</v>
          </cell>
          <cell r="H152" t="str">
            <v>Lump sum per site</v>
          </cell>
          <cell r="T152" t="str">
            <v>Renovation of premisis, security equipment</v>
          </cell>
        </row>
        <row r="153">
          <cell r="G153" t="str">
            <v>Provide consumables and support maintenance of infrastructure</v>
          </cell>
          <cell r="H153" t="str">
            <v>Costs per site per year</v>
          </cell>
          <cell r="T153" t="str">
            <v>based on 2005 implementation report, see budget assumptions sheet (including clinic and office supplies)</v>
          </cell>
        </row>
        <row r="154">
          <cell r="G154" t="str">
            <v>Introductory trainings for staff of new sites</v>
          </cell>
          <cell r="H154" t="str">
            <v>Training events</v>
          </cell>
          <cell r="T154" t="str">
            <v xml:space="preserve">20 participants: transportation 40 USD, accommodation 20 * 3 nights, meals 30 USD * 3 days, equipment 300, handouts 300, rent 600, trainer honorarium 300 </v>
          </cell>
        </row>
        <row r="155">
          <cell r="G155" t="str">
            <v>Provide continued education for substitution site staff</v>
          </cell>
          <cell r="H155" t="str">
            <v>Training events</v>
          </cell>
          <cell r="T155" t="str">
            <v xml:space="preserve">35 participants: transportation 40 USD, accomadation 35 * 2 nights, meals 30 *2 days, equipment 200, handouts 150, rent 400, trainer honorarium 200 </v>
          </cell>
        </row>
        <row r="158">
          <cell r="G158" t="str">
            <v>Procure drugs for ST in ISC</v>
          </cell>
        </row>
        <row r="159">
          <cell r="G159" t="str">
            <v xml:space="preserve">Develop and adopt national standards of comprehensive, integrated care for IDUs </v>
          </cell>
          <cell r="H159" t="str">
            <v>Review and translation costs</v>
          </cell>
          <cell r="T159" t="str">
            <v>25 pages @10 USD, 100 for editing, 2 days international expert at 300 day, printing 500 copies at 8 USD</v>
          </cell>
        </row>
        <row r="160">
          <cell r="G160" t="str">
            <v>Renovate / prepare site premesis</v>
          </cell>
          <cell r="H160" t="str">
            <v>Lump sum per site</v>
          </cell>
          <cell r="T160" t="str">
            <v>Renovation of premisis, security equipment</v>
          </cell>
        </row>
        <row r="161">
          <cell r="G161" t="str">
            <v>Cover staff salaries of multidisciplinary teams in project sites</v>
          </cell>
          <cell r="H161" t="str">
            <v>per site staff costing per year</v>
          </cell>
          <cell r="T161" t="str">
            <v xml:space="preserve">monthly salaries (0.5 FTE*2 narcologists@ 300, 0.2 infectionist @ 300, 2 nurse @ 150, 3 case managers @ 200, 1 peer counsellor @200, 1 coordinator @250, accountant 0.3 @ 250+ taxation 35%) </v>
          </cell>
        </row>
        <row r="162">
          <cell r="G162" t="str">
            <v>Provide technical assistance through on-site training and mentoring</v>
          </cell>
          <cell r="H162" t="str">
            <v>support per site per year</v>
          </cell>
          <cell r="T162" t="str">
            <v xml:space="preserve">per site 2 visits per year @ 2 days international eperts (300 USD/day) plus travel (500) </v>
          </cell>
        </row>
        <row r="163">
          <cell r="G163" t="str">
            <v xml:space="preserve">Establish mobile health care vans in 5 ISC's for outreach and proximity to clients </v>
          </cell>
          <cell r="H163" t="str">
            <v>per site</v>
          </cell>
          <cell r="T163" t="str">
            <v>Procure mobile vans for 5 integrated services centers</v>
          </cell>
        </row>
        <row r="164">
          <cell r="G164" t="str">
            <v>Maintain mobile health care vans in five centers</v>
          </cell>
          <cell r="H164" t="str">
            <v>per van</v>
          </cell>
          <cell r="T164" t="str">
            <v xml:space="preserve">Petrol USD 300, driver USD 200 per month, taxation 35% repairment USD 1000 per year,  </v>
          </cell>
        </row>
        <row r="165">
          <cell r="G165" t="str">
            <v>Recurrent equipment costs for delivering care and harm reduction package to clients (including transportation allowance)</v>
          </cell>
          <cell r="H165" t="str">
            <v>per site</v>
          </cell>
          <cell r="T165" t="str">
            <v>1,900 (10.000 syringes @ 0,05; 10,000 condoms @ 0,02; desinfectent; 600 client transportation allowance, plastic cups and other consumables for 300)</v>
          </cell>
        </row>
        <row r="166">
          <cell r="G166" t="str">
            <v>Operational research and comparative analysis</v>
          </cell>
          <cell r="H166" t="str">
            <v xml:space="preserve">lump sum per year </v>
          </cell>
          <cell r="T166" t="str">
            <v xml:space="preserve">comparative analyses, cost-effectivness, drug sceen patterns, region specific needs, ST programs longitude evaluation (includes international expert (10 days at 300), site travel (5,000), local research teams (6000) </v>
          </cell>
        </row>
        <row r="170">
          <cell r="G170" t="str">
            <v>Maintain existing drug free rehabilitation programme in 2 sites, offering up to 200 rehabilitation slots per site per year</v>
          </cell>
          <cell r="H170" t="str">
            <v>Treatment episode</v>
          </cell>
          <cell r="T170" t="str">
            <v xml:space="preserve">based on the calculation on 2006 based on treatment dureation of one month (transportation 60, accommodation 80, meals 180, personnel 180) </v>
          </cell>
        </row>
        <row r="174">
          <cell r="G174" t="str">
            <v>Provide ST during TB in-patient care (6 months) and onward referral to ST programme after in-patient period</v>
          </cell>
          <cell r="H174" t="str">
            <v>Patients served</v>
          </cell>
          <cell r="T174" t="str">
            <v>average 6 months per client, then transfer to other modalities, drugs budgeted under overall ST procurement, other drugs provided by state TB systems</v>
          </cell>
        </row>
        <row r="175">
          <cell r="G175" t="str">
            <v>Establish joint group with TB experts, ST physicians, and PLWHA representatives to explore modalities of licencing selected TB clinics for using narcotic medicines / ST</v>
          </cell>
          <cell r="H175" t="str">
            <v>Expert group meetings including regions</v>
          </cell>
          <cell r="T175" t="str">
            <v xml:space="preserve">3 representatives for each of 6 regions, 2 days meeting, travel for 15 people (3000), per diem and honorarium (15*250= 3750) + 1000 incidentals  </v>
          </cell>
        </row>
        <row r="176">
          <cell r="G176" t="str">
            <v>Develop training and job-aid toolkit and minimal standards for the personnel of TB clinics, including requirements for storage and security</v>
          </cell>
          <cell r="H176" t="str">
            <v>lump sum</v>
          </cell>
          <cell r="T176" t="str">
            <v>including 4 days international support @ 300, 15 days national support @ 100, printing @ 1500</v>
          </cell>
        </row>
        <row r="177">
          <cell r="G177" t="str">
            <v>Physically equip 6 TB clincis to meet requirements for licening and obtaining licening for narcotic drugs turnover</v>
          </cell>
          <cell r="H177" t="str">
            <v>lump sum</v>
          </cell>
          <cell r="T177" t="str">
            <v>Upgrading of premesis and support to aquiring licences</v>
          </cell>
        </row>
        <row r="178">
          <cell r="G178" t="str">
            <v xml:space="preserve">Provide training for personnel in selected TB clinics </v>
          </cell>
          <cell r="H178" t="str">
            <v>per training</v>
          </cell>
          <cell r="T178" t="str">
            <v xml:space="preserve">3 representatives for each of 6 centres, 4 days training: travel participants (16*200), accomodation (17*500) + 1 international trainer @ 350*4days plus USD 1500 travel and 1 trainer @ 200*4 days, translation costs (4*300) + 1000 for material development </v>
          </cell>
        </row>
        <row r="179">
          <cell r="G179" t="str">
            <v xml:space="preserve">Employ additional staff  of multi-disciplinary teams for effective management of ST clients in TB facilities </v>
          </cell>
          <cell r="H179" t="str">
            <v>Staff costs per site per year</v>
          </cell>
          <cell r="T179" t="str">
            <v>Narcologist physician (@300/month, 0.5 FTE, 35% taxation) nurse covered by normal personnel</v>
          </cell>
        </row>
        <row r="180">
          <cell r="G180" t="str">
            <v>Provide technical assistance through on-site mentoring, coordinate with TA for comprehensive care for IDU sites</v>
          </cell>
          <cell r="H180" t="str">
            <v>TA site visit</v>
          </cell>
          <cell r="T180" t="str">
            <v>includes 1 day of consultant time and travel share</v>
          </cell>
        </row>
        <row r="184">
          <cell r="G184" t="str">
            <v>Procurement ST drugs (year end-point)</v>
          </cell>
          <cell r="H184" t="str">
            <v>Patients served</v>
          </cell>
          <cell r="T184" t="str">
            <v>see separate budget table in assumptions sheet, inlude 5 per cent procurement and distribution overheads</v>
          </cell>
        </row>
        <row r="185">
          <cell r="G185" t="str">
            <v>Procurement of psychiatric drugs (certroline)</v>
          </cell>
          <cell r="H185" t="str">
            <v>patients</v>
          </cell>
          <cell r="T185" t="str">
            <v>80 patients in two sites, 40 in each, with treatment courses 3 month</v>
          </cell>
        </row>
        <row r="189">
          <cell r="G189" t="str">
            <v xml:space="preserve">Monitoring </v>
          </cell>
          <cell r="H189" t="str">
            <v>visits</v>
          </cell>
          <cell r="T189" t="str">
            <v>It is estimated that one day of TA visit per person: travel is 50 USD per person, per diem 50 USD per person, accomodation is 60 USD per day per person = 160 USD per person. It takes one day and two people to provide TA/ME visit per organization</v>
          </cell>
        </row>
      </sheetData>
      <sheetData sheetId="7">
        <row r="4">
          <cell r="G4" t="str">
            <v>Objectives / Service Delivery Areas (SDAs)</v>
          </cell>
          <cell r="H4" t="str">
            <v>Description of Units (e.g workshops, patients, services)</v>
          </cell>
        </row>
        <row r="5">
          <cell r="T5" t="str">
            <v>Costing assumptions</v>
          </cell>
        </row>
        <row r="14">
          <cell r="G14" t="str">
            <v>Provide psychosocial and adherence support for ART patients on the basis of multidisciplinary approach (a team composing of ART prescribing physician, medical nurses, neurologist, TB specialist, social worker and consultant based on "peer-to-peer" approac</v>
          </cell>
          <cell r="H14" t="str">
            <v>client support episodes</v>
          </cell>
          <cell r="T14" t="str">
            <v>See Budget Assumptions</v>
          </cell>
        </row>
        <row r="15">
          <cell r="G15" t="str">
            <v xml:space="preserve">Support to All-Ukrainian Informational and Methodical Center to coordinate and technically guide implementation of adherence counseling and psychosocial support programme </v>
          </cell>
          <cell r="H15" t="str">
            <v>interns</v>
          </cell>
          <cell r="T15" t="str">
            <v>See Budget Assumptions</v>
          </cell>
        </row>
        <row r="16">
          <cell r="G16" t="str">
            <v xml:space="preserve">PR staff inputs in implementation of the component: technical support, documentation, dissemination, development of standard tools, formats and documents for programme design, implementation, monitoring and reporting.  </v>
          </cell>
          <cell r="H16" t="str">
            <v xml:space="preserve">As the level of effort changes over time a single unit cost cannot be applied for this line. Please refer to budget assumptions for detail on unit costs etc. </v>
          </cell>
          <cell r="T16" t="str">
            <v xml:space="preserve">As the level of effort changes over time a single unit cost cannot be applied for this line. Please refer to budget assumptions for detail on unit costs etc. </v>
          </cell>
        </row>
        <row r="20">
          <cell r="G20" t="str">
            <v xml:space="preserve">Scale-up access to the nursing and non-medical care and support at home for 10,080 PLWHA </v>
          </cell>
          <cell r="H20" t="str">
            <v>clients</v>
          </cell>
          <cell r="T20" t="str">
            <v>See Budget Assumptions</v>
          </cell>
        </row>
        <row r="21">
          <cell r="G21" t="str">
            <v xml:space="preserve">Support provision of palliative care for 1500 people with double diagnosis of HIV/AIDS and TB </v>
          </cell>
          <cell r="H21" t="str">
            <v>clients</v>
          </cell>
          <cell r="T21" t="str">
            <v>See Budget Assumptions</v>
          </cell>
        </row>
        <row r="22">
          <cell r="G22" t="str">
            <v xml:space="preserve">Develop standards of palliative care of the HIV-infected in Ukraine, including ToR, staff selection for the working groups and conducting of meetings </v>
          </cell>
          <cell r="H22" t="str">
            <v>working group</v>
          </cell>
          <cell r="T22" t="str">
            <v>Working 1-day meeting of 15 consultants. Payment of concultants travel - 50 $ per person (10 participants from other towns), per diem - 50 $  per person / day, premisis rent and / or equipment - 500 $ . Consultants fees - 100$. Editing fee - 500$</v>
          </cell>
        </row>
        <row r="23">
          <cell r="G23" t="str">
            <v xml:space="preserve">Traing NGOs personnel on palliative care services delivery, including development of training curricula, material and implementation of trainings </v>
          </cell>
          <cell r="H23" t="str">
            <v>training</v>
          </cell>
          <cell r="T23" t="str">
            <v xml:space="preserve">3 days training for 25 participants: travel - 50 $, infeormational materials and stationery - 5 $, per diem - 50 $, *3. Premises and facilities rent - 500 $ *3, trainers fees - 600$. </v>
          </cell>
        </row>
        <row r="24">
          <cell r="G24" t="str">
            <v xml:space="preserve">PR staff inputs in implementation of the component: technical support, documentation, dissemination, development of standard tools, formats and documents for programme design, implementation, monitoring and reporting.  </v>
          </cell>
          <cell r="H24" t="str">
            <v xml:space="preserve">As the level of effort changes over time a single unit cost cannot be applied for this line. Please refer to budget assumptions for detail on unit costs etc. </v>
          </cell>
          <cell r="T24" t="str">
            <v xml:space="preserve">As the level of effort changes over time a single unit cost cannot be applied for this line. Please refer to budget assumptions for detail on unit costs etc. </v>
          </cell>
        </row>
        <row r="28">
          <cell r="G28" t="str">
            <v>Identify hospice site, renovate and adjust to the needs of "end of life" care, equip, licence, select personnel,  traing and certificy personnel</v>
          </cell>
          <cell r="H28" t="str">
            <v>initial support for building hospice</v>
          </cell>
          <cell r="T28" t="str">
            <v>See Budget Assumptions</v>
          </cell>
        </row>
        <row r="29">
          <cell r="G29" t="str">
            <v>Support for the hospice, medication procurement, expert mentoring visits, regular training of the personnel</v>
          </cell>
          <cell r="H29" t="str">
            <v>per site per year</v>
          </cell>
          <cell r="T29" t="str">
            <v>See Budget Assumptions</v>
          </cell>
        </row>
        <row r="30">
          <cell r="G30" t="str">
            <v xml:space="preserve">PR staff inputs in implementation of the component: technical support, documentation, dissemination, development of standard tools, formats and documents for programme design, implementation, monitoring and reporting.  </v>
          </cell>
          <cell r="H30" t="str">
            <v xml:space="preserve">As the level of effort changes over time a single unit cost cannot be applied for this line. Please refer to budget assumptions for detail on unit costs etc. </v>
          </cell>
          <cell r="T30" t="str">
            <v xml:space="preserve">As the level of effort changes over time a single unit cost cannot be applied for this line. Please refer to budget assumptions for detail on unit costs etc. </v>
          </cell>
        </row>
        <row r="34">
          <cell r="G34" t="str">
            <v xml:space="preserve">Maintain community centres funded by GFATM Rd 1 after 2009, and increase overall number of community centres to reach a total of 27 centres providing services for up to 27,000 people yearly affected by HIV/AIDS  </v>
          </cell>
          <cell r="H34" t="str">
            <v>clients</v>
          </cell>
          <cell r="T34" t="str">
            <v>See Budget Assumptions</v>
          </cell>
        </row>
        <row r="35">
          <cell r="G35" t="str">
            <v xml:space="preserve">Following expiration of GFATM Rd 1 grant, train personnel from NGOs on community centers activities, including preparation, development and conducting training </v>
          </cell>
          <cell r="H35" t="str">
            <v>training</v>
          </cell>
          <cell r="T35" t="str">
            <v xml:space="preserve">3 days training for 25 participants: travel - 50 $, inform materials and stationery - 5$, per diem - 50 $ х 3 days. Premises and facilities rent - 500 $ *3, trainers fees - 600$. </v>
          </cell>
        </row>
        <row r="36">
          <cell r="G36" t="str">
            <v xml:space="preserve">PR staff inputs in implementation of the component: technical support, documentation, dissemination, development of standard tools, formats and documents for programme design, implementation, monitoring and reporting.  </v>
          </cell>
          <cell r="H36" t="str">
            <v xml:space="preserve">As the level of effort changes over time a single unit cost cannot be applied for this line. Please refer to budget assumptions for detail on unit costs etc. </v>
          </cell>
          <cell r="T36" t="str">
            <v xml:space="preserve">As the level of effort changes over time a single unit cost cannot be applied for this line. Please refer to budget assumptions for detail on unit costs etc. </v>
          </cell>
        </row>
        <row r="40">
          <cell r="G40" t="str">
            <v xml:space="preserve">Establish and develop of PLWHA self help groups reaching 2500 PLWHA in small towns and villages </v>
          </cell>
          <cell r="H40" t="str">
            <v>clients</v>
          </cell>
          <cell r="T40" t="str">
            <v>See Budget Assumptions</v>
          </cell>
        </row>
        <row r="41">
          <cell r="G41" t="str">
            <v xml:space="preserve">PR staff inputs in implementation of the component: technical support, documentation, dissemination, development of standard tools, formats and documents for programme design, implementation, monitoring and reporting.  </v>
          </cell>
          <cell r="H41" t="str">
            <v xml:space="preserve">As the level of effort changes over time a single unit cost cannot be applied for this line. Please refer to budget assumptions for detail on unit costs etc. </v>
          </cell>
          <cell r="T41" t="str">
            <v xml:space="preserve">As the level of effort changes over time a single unit cost cannot be applied for this line. Please refer to budget assumptions for detail on unit costs etc. </v>
          </cell>
        </row>
        <row r="45">
          <cell r="G45" t="str">
            <v>Establish specialized coordinating center for guiding and training staff of children's centers and for the work with the families having the ward ship of HIV-positive children</v>
          </cell>
          <cell r="H45" t="str">
            <v>working group</v>
          </cell>
          <cell r="T45" t="str">
            <v>Working 1-day meeting of 15 consultants. Payment of concultants travel - 50 $ per person (10 participants from other towns), per diem - 50 $  per person / day, premisis rent and / or equipment - 500 $ . Consultants fees - 100$. Editing fee - 500$</v>
          </cell>
        </row>
        <row r="46">
          <cell r="G46" t="str">
            <v>Provide pyschosocial support for foster families (weekly support visit by a social worker of a family with the foster child, consultation with the parents, consultations of pediatrician and psychologist)</v>
          </cell>
          <cell r="H46" t="str">
            <v>families reached</v>
          </cell>
          <cell r="T46" t="str">
            <v>See Budget Assumptions</v>
          </cell>
        </row>
        <row r="47">
          <cell r="G47" t="str">
            <v xml:space="preserve">Development and support of day care centers of HIV-positive children and youth (provision of psychological support, work with the parents, preparation to ART  etc.) </v>
          </cell>
          <cell r="H47" t="str">
            <v>clients</v>
          </cell>
          <cell r="T47" t="str">
            <v>See Budget Assumptions</v>
          </cell>
        </row>
        <row r="48">
          <cell r="G48" t="str">
            <v>Activities targeted at prevention of HIV positive children abandonment and neglect</v>
          </cell>
          <cell r="H48" t="str">
            <v>clients</v>
          </cell>
          <cell r="T48" t="str">
            <v>See Budget Assumptions</v>
          </cell>
        </row>
        <row r="49">
          <cell r="G49" t="str">
            <v xml:space="preserve">Traing NGOs personnel provide (above mentioned) services on the specificity of the work with children (including development of training programme, development of the programme and training of 75 stafff) </v>
          </cell>
          <cell r="H49" t="str">
            <v>training</v>
          </cell>
          <cell r="T49" t="str">
            <v xml:space="preserve">3 days training for 25 participants: travel - 50 $, inform materials and stationery - 5$, per diem - 50 $ х 3 days. Premises and facilities rent - 500 $ *3, trainers fees - 600$. </v>
          </cell>
        </row>
        <row r="50">
          <cell r="G50" t="str">
            <v xml:space="preserve">PR staff inputs in implementation of the component: technical support, documentation, dissemination, development of standard tools, formats and documents for programme design, implementation, monitoring and reporting.  </v>
          </cell>
          <cell r="H50" t="str">
            <v xml:space="preserve">As the level of effort changes over time a single unit cost cannot be applied for this line. Please refer to budget assumptions for detail on unit costs etc. </v>
          </cell>
          <cell r="T50" t="str">
            <v xml:space="preserve">As the level of effort changes over time a single unit cost cannot be applied for this line. Please refer to budget assumptions for detail on unit costs etc. </v>
          </cell>
        </row>
        <row r="54">
          <cell r="G54" t="str">
            <v>Provide positive prevention services (specifically condoms distribution) for clients living with HIV and AIDS through community centers' and HIV-positive clients of other care and support activities</v>
          </cell>
          <cell r="H54" t="str">
            <v>condoms</v>
          </cell>
        </row>
        <row r="55">
          <cell r="G55" t="str">
            <v>Overhead for condom distribution in the region</v>
          </cell>
          <cell r="H55" t="str">
            <v>items</v>
          </cell>
          <cell r="T55" t="str">
            <v>5% out of price</v>
          </cell>
        </row>
        <row r="56">
          <cell r="G56" t="str">
            <v xml:space="preserve">Development of the reproductive health and family planning programmes providing social and psychological support to HIV+ families and discordant couples. </v>
          </cell>
          <cell r="H56" t="str">
            <v>clients</v>
          </cell>
          <cell r="T56" t="str">
            <v>See Budget Assumptions</v>
          </cell>
        </row>
        <row r="57">
          <cell r="G57" t="str">
            <v>Train NGOs' personnel on reproductive health issues and family planning for PLWHA, including training programme development and training of 50 staff</v>
          </cell>
          <cell r="H57" t="str">
            <v>reproductive health school</v>
          </cell>
          <cell r="T57" t="str">
            <v xml:space="preserve">3 days training for 25 participants: travel - 50 $, inform materials and stationery - 5$, per diem - 50 $ х 3 days. Premises and facilities rent - 500 $ *3, trainers fees - 600$. </v>
          </cell>
        </row>
        <row r="58">
          <cell r="G58" t="str">
            <v>Provide case management for HIV-positive pregnant women, including psychosocial and medical support to ensure PMTCT adherence, and follow-up for new mothers and infants born to HIV-positive mothers</v>
          </cell>
          <cell r="H58" t="str">
            <v>clients</v>
          </cell>
          <cell r="T58" t="str">
            <v>See Budget Assumptions</v>
          </cell>
        </row>
        <row r="59">
          <cell r="G59" t="str">
            <v xml:space="preserve">PR staff inputs in implementation of the component: technical support, documentation, dissemination, development of standard tools, formats and documents for programme design, implementation, monitoring and reporting.  </v>
          </cell>
          <cell r="H59" t="str">
            <v xml:space="preserve">As the level of effort changes over time a single unit cost cannot be applied for this line. Please refer to budget assumptions for detail on unit costs etc. </v>
          </cell>
          <cell r="T59" t="str">
            <v xml:space="preserve">As the level of effort changes over time a single unit cost cannot be applied for this line. Please refer to budget assumptions for detail on unit costs etc. </v>
          </cell>
        </row>
        <row r="63">
          <cell r="G63" t="str">
            <v>Support the development of self-help groups of HIV positive MSM and the provision of psychosocial support to a total of 250 MSM by Year 5</v>
          </cell>
          <cell r="H63" t="str">
            <v>clients</v>
          </cell>
          <cell r="T63" t="str">
            <v>See Budget Assumptions</v>
          </cell>
        </row>
        <row r="64">
          <cell r="G64" t="str">
            <v xml:space="preserve">Development, printing and dissemination of informational and educational materials for MSM concerning life with HIV for HIV+ MSM and health preservation </v>
          </cell>
          <cell r="H64" t="str">
            <v>brochure</v>
          </cell>
        </row>
        <row r="65">
          <cell r="G65" t="str">
            <v xml:space="preserve">PR staff inputs in implementation of the component: technical support, documentation, dissemination, development of standard tools, formats and documents for programme design, implementation, monitoring and reporting.  </v>
          </cell>
          <cell r="H65" t="str">
            <v xml:space="preserve">As the level of effort changes over time a single unit cost cannot be applied for this line. Please refer to budget assumptions for detail on unit costs etc. </v>
          </cell>
          <cell r="T65" t="str">
            <v xml:space="preserve">As the level of effort changes over time a single unit cost cannot be applied for this line. Please refer to budget assumptions for detail on unit costs etc. </v>
          </cell>
        </row>
        <row r="69">
          <cell r="G69" t="str">
            <v xml:space="preserve">Provide care and support for up to 4400 HIV-positive prisoners yearly </v>
          </cell>
          <cell r="H69" t="str">
            <v>clients</v>
          </cell>
          <cell r="T69" t="str">
            <v>See Budget Assumptions</v>
          </cell>
        </row>
        <row r="70">
          <cell r="G70" t="str">
            <v>Train 25 staff of NGOs providing care and support on the service delivery in the prisons system, including training programme development and implementation</v>
          </cell>
          <cell r="H70" t="str">
            <v>training</v>
          </cell>
          <cell r="T70" t="str">
            <v xml:space="preserve">3 days training for 25 participants: travel - 50 $, inform materials and stationery - 5$, per diem - 50 $ х 3 days. Premises and facilities rent - 500 $ *3, trainers fees - 600$. </v>
          </cell>
        </row>
        <row r="71">
          <cell r="G71" t="str">
            <v xml:space="preserve">PR staff inputs in implementation of the component: technical support, documentation, dissemination, development of standard tools, formats and documents for programme design, implementation, monitoring and reporting.  </v>
          </cell>
          <cell r="H71" t="str">
            <v xml:space="preserve">As the level of effort changes over time a single unit cost cannot be applied for this line. Please refer to budget assumptions for detail on unit costs etc. </v>
          </cell>
          <cell r="T71" t="str">
            <v xml:space="preserve">As the level of effort changes over time a single unit cost cannot be applied for this line. Please refer to budget assumptions for detail on unit costs etc. </v>
          </cell>
        </row>
        <row r="75">
          <cell r="G75" t="str">
            <v>Enhance and support the National Hot-line and national HIV/AIDS web-site to inlcude on-line (ICQ) and off-line (e-mail) counseling; provide focused information IDU, TB, MSM, CSW and prisoners</v>
          </cell>
          <cell r="H75" t="str">
            <v>hot-line</v>
          </cell>
          <cell r="T75" t="str">
            <v>See Budget Assumptions</v>
          </cell>
        </row>
        <row r="76">
          <cell r="G76" t="str">
            <v xml:space="preserve">PR staff inputs in implementation of the component: technical support, documentation, dissemination, development of standard tools, formats and documents for programme design, implementation, monitoring and reporting.  </v>
          </cell>
          <cell r="H76" t="str">
            <v xml:space="preserve">As the level of effort changes over time a single unit cost cannot be applied for this line. Please refer to budget assumptions for detail on unit costs etc. </v>
          </cell>
          <cell r="T76" t="str">
            <v xml:space="preserve">As the level of effort changes over time a single unit cost cannot be applied for this line. Please refer to budget assumptions for detail on unit costs etc. </v>
          </cell>
        </row>
        <row r="80">
          <cell r="G80" t="str">
            <v xml:space="preserve">Organize and conduct summer school for All-Ukrainian PLWHA specialists' personnel up-grading them on services delivery issues for vulnerable to HIV groups of population </v>
          </cell>
          <cell r="H80" t="str">
            <v>summer school</v>
          </cell>
          <cell r="T80" t="str">
            <v>5-days training for 20 participants: transport - 50 USD, stationery - 5 USD, per diems - 50 USD х 5 days. Rent and equipment - 500 USD х 5 days, international experts and trainers fee - 150 USD х 6 days</v>
          </cell>
        </row>
        <row r="81">
          <cell r="G81" t="str">
            <v xml:space="preserve">Support internships for PLWHA engaged in service provision at other HIV-service organisations operating in CIS and Eastern Europe </v>
          </cell>
          <cell r="H81" t="str">
            <v>internship</v>
          </cell>
          <cell r="T81" t="str">
            <v>Transfer - 500 USD, per diems - 55 USD х 4 days, accomodation - 70 USD х 3 days, visa - 70 USD</v>
          </cell>
        </row>
        <row r="82">
          <cell r="G82" t="str">
            <v>Provide trainings for 400 care and support staff to prevent professional burn-out</v>
          </cell>
          <cell r="H82" t="str">
            <v>event</v>
          </cell>
          <cell r="T82" t="str">
            <v>5-days training for 20 participants: transport - 50USD, stationery - 5 USD, per diems - 50 USD х 5 days. Rent and equipment - 500 USD х 5 days, fee for 2 experts-therapists - 100 USD х 5 days</v>
          </cell>
        </row>
        <row r="83">
          <cell r="G83" t="str">
            <v>Conduct annual conference for 200 HIV-positive activists</v>
          </cell>
          <cell r="H83" t="str">
            <v xml:space="preserve">conference </v>
          </cell>
          <cell r="T83" t="str">
            <v xml:space="preserve">Calculations per participant: travel - 50 $,per diem - 50 $ x 4 days </v>
          </cell>
        </row>
        <row r="84">
          <cell r="G84" t="str">
            <v>Support advocacy activities to protect and monitor rights of PLWHA</v>
          </cell>
          <cell r="H84" t="str">
            <v>month</v>
          </cell>
          <cell r="T84" t="str">
            <v xml:space="preserve">Fee for advocacy activities - 200$  x 24 regions </v>
          </cell>
        </row>
        <row r="85">
          <cell r="G85" t="str">
            <v>Participation of PLWHA community members and vulnerable groups in national and international activities (conferences, seminars, working meetings, forums, etc) for advocacy and lobbing for the interests, freedoms, rights and privileges of PLWHA and vulnera</v>
          </cell>
          <cell r="H85" t="str">
            <v>persons</v>
          </cell>
          <cell r="T85" t="str">
            <v xml:space="preserve">Costs for a trip - 500$, per diems - 55$ х 4, accommodation - 70 $ х 3 days, visa - 70$. </v>
          </cell>
        </row>
        <row r="86">
          <cell r="G86" t="str">
            <v>Support expansion of sites conducting yearly informational event in XX cities "All-Ukrainian action devoted to the Day of Remembrance of the people died of  HIV/AIDS" aimed at attracting attention of society to the problem of HIV/AIDS</v>
          </cell>
          <cell r="H86" t="str">
            <v>action</v>
          </cell>
          <cell r="T86" t="str">
            <v>Partial funding from Rd 1</v>
          </cell>
        </row>
        <row r="87">
          <cell r="G87" t="str">
            <v>Support expansion of sites conducting local informational events "All-Ukrainian action devoted to the Day of Mutual Understanding with HIV-positive people" (World AIDS Day, December 1) aimed at attracting attention of society to the problem of HIV/AIDS</v>
          </cell>
          <cell r="H87" t="str">
            <v>action</v>
          </cell>
          <cell r="T87" t="str">
            <v>Partial funding from Rd 1</v>
          </cell>
        </row>
        <row r="88">
          <cell r="G88" t="str">
            <v>Monitor and evaluate implementation of care and support component</v>
          </cell>
          <cell r="H88" t="str">
            <v>Monitoring or TA visit</v>
          </cell>
          <cell r="T88" t="str">
            <v xml:space="preserve">costs per visit: travel - 50 $, per diem - 20 $ x 4 days, accommodation - 50 $ x 1 day </v>
          </cell>
        </row>
        <row r="89">
          <cell r="G89" t="str">
            <v xml:space="preserve">PR staff inputs in implementation of the component: technical support, documentation, dissemination, development of standard tools, formats and documents for programme design, implementation, monitoring and reporting.  </v>
          </cell>
          <cell r="H89" t="str">
            <v xml:space="preserve">As the level of effort changes over time a single unit cost cannot be applied for this line. Please refer to budget assumptions for detail on unit costs etc. </v>
          </cell>
          <cell r="T89" t="str">
            <v xml:space="preserve">As the level of effort changes over time a single unit cost cannot be applied for this line. Please refer to budget assumptions for detail on unit costs etc. </v>
          </cell>
        </row>
      </sheetData>
      <sheetData sheetId="8">
        <row r="5">
          <cell r="G5" t="str">
            <v>Service Delivery Areas (SDAs)</v>
          </cell>
          <cell r="I5" t="str">
            <v>Definition of Units</v>
          </cell>
          <cell r="U5" t="str">
            <v>Costing assumptions</v>
          </cell>
        </row>
        <row r="6">
          <cell r="H6" t="str">
            <v>Sub-activities:</v>
          </cell>
        </row>
        <row r="7">
          <cell r="G7" t="str">
            <v>TOTAL</v>
          </cell>
        </row>
        <row r="16">
          <cell r="G16" t="str">
            <v xml:space="preserve">Improve guidance, legislation and methodological support for coordinated service delivery at local level   </v>
          </cell>
          <cell r="H16" t="str">
            <v xml:space="preserve">Analyse current models of coordinated social and medical services provided by NGOs and state agencies at local level </v>
          </cell>
          <cell r="I16" t="str">
            <v>analytical study</v>
          </cell>
          <cell r="U16" t="str">
            <v>see budget assumptions</v>
          </cell>
        </row>
        <row r="17">
          <cell r="H17" t="str">
            <v>Develop and approve service delivery standards and relevant protocols (according to the needs as identified within OB 1,2,3), legislative frameworks, referral schemes, typical coordination mechanisms between social and medical service providers (statutory</v>
          </cell>
          <cell r="I17" t="str">
            <v>group of experts</v>
          </cell>
          <cell r="U17" t="str">
            <v>see budget assumptions</v>
          </cell>
        </row>
        <row r="18">
          <cell r="H18" t="str">
            <v xml:space="preserve">Develop and advocate for approval of system for governmental contracting of HIV/AIDS services in order to promote sustainable systems for coordinated prevention, treatment, care and support   </v>
          </cell>
          <cell r="I18" t="str">
            <v>group of experts</v>
          </cell>
          <cell r="U18" t="str">
            <v>see budget assumptions</v>
          </cell>
        </row>
        <row r="19">
          <cell r="H19" t="str">
            <v xml:space="preserve">PR staff inputs in implementation of the component: technical support, documentation, dissemination, development of standard tools, formats and documents for programme design, implementation, monitoring and reporting.  </v>
          </cell>
          <cell r="I19" t="str">
            <v xml:space="preserve">As the level of effort changes over time a single unit cost cannot be applied for this line. Please refer to budget assumptions for detail on unit costs etc. </v>
          </cell>
          <cell r="U19" t="str">
            <v xml:space="preserve">As the level of effort changes over time a single unit cost cannot be applied for this line. Please refer to budget assumptions for detail on unit costs etc. </v>
          </cell>
        </row>
        <row r="23">
          <cell r="G23" t="str">
            <v>Establish and maintain local level HIV/AIDS coordination networks</v>
          </cell>
          <cell r="H23" t="str">
            <v xml:space="preserve">Establish and maintain 90 municipal coordination networks in cities involved in the program, including support for coordination councils and municipal coordinators </v>
          </cell>
          <cell r="I23" t="str">
            <v>number of cities</v>
          </cell>
          <cell r="U23" t="str">
            <v>see budget assumptions</v>
          </cell>
        </row>
        <row r="24">
          <cell r="G24" t="str">
            <v>PR programmatic staff costs</v>
          </cell>
          <cell r="I24" t="str">
            <v xml:space="preserve">As the level of effort changes over time a single unit cost cannot be applied for this line. Please refer to budget assumptions for detail on unit costs etc. </v>
          </cell>
          <cell r="U24" t="str">
            <v xml:space="preserve">As the level of effort changes over time a single unit cost cannot be applied for this line. Please refer to budget assumptions for detail on unit costs etc. </v>
          </cell>
        </row>
        <row r="25">
          <cell r="G25" t="str">
            <v>Build and maintain capacity of service providers in improved local level coordination and referral</v>
          </cell>
          <cell r="H25" t="str">
            <v xml:space="preserve">Introduce protocols and standards for coordination of service delivery through dissemination of information, including 78 training sessions for local service providers </v>
          </cell>
          <cell r="I25" t="str">
            <v>regional training</v>
          </cell>
          <cell r="U25" t="str">
            <v>see budget assumptions</v>
          </cell>
        </row>
        <row r="26">
          <cell r="H26" t="str">
            <v>Develop and provide information and technical support for social and medical service providers (both governmental and NGOs), inlcuding a database on service provision, implementation of systems for tracking clients, and organizing referral systems</v>
          </cell>
          <cell r="I26" t="str">
            <v>methodological guidance publications</v>
          </cell>
          <cell r="U26" t="str">
            <v>see budget assumptions</v>
          </cell>
        </row>
        <row r="27">
          <cell r="G27" t="str">
            <v>Evaluate implementation progress of local HIV/AIDS networks</v>
          </cell>
          <cell r="H27" t="str">
            <v>Conduct external monitoring and evaluation of quality of coordinated service provision, in accordance with the adopted standards</v>
          </cell>
          <cell r="I27" t="str">
            <v>analytical survey in region of implementation</v>
          </cell>
          <cell r="U27" t="str">
            <v>see budget assumptions</v>
          </cell>
        </row>
        <row r="33">
          <cell r="G33" t="str">
            <v xml:space="preserve">Capacity building for social workers in the provision of HIV/AIDS services  </v>
          </cell>
          <cell r="H33" t="str">
            <v xml:space="preserve">Review existing training programmes and training programmes for certification of provision of social services </v>
          </cell>
          <cell r="I33" t="str">
            <v xml:space="preserve"> programme development grant</v>
          </cell>
          <cell r="U33" t="str">
            <v>see budget assumptions</v>
          </cell>
        </row>
        <row r="34">
          <cell r="G34" t="str">
            <v>PR programmatic staff costs</v>
          </cell>
          <cell r="I34" t="str">
            <v xml:space="preserve">As the level of effort changes over time a single unit cost cannot be applied for this line. Please refer to budget assumptions for detail on unit costs etc. </v>
          </cell>
          <cell r="U34" t="str">
            <v xml:space="preserve">As the level of effort changes over time a single unit cost cannot be applied for this line. Please refer to budget assumptions for detail on unit costs etc. </v>
          </cell>
        </row>
        <row r="35">
          <cell r="H35" t="str">
            <v xml:space="preserve">Develop specialised professional training/certified training programmes for social workers in HIV (according to the needs identified within ОВ 1,2,3)  </v>
          </cell>
        </row>
        <row r="36">
          <cell r="H36" t="str">
            <v xml:space="preserve">Advocate for inclusion of training programmes on HIV/AIDS for social workers into the current curriculum of post-graduate education and advocate for government certification of these training programmes  </v>
          </cell>
        </row>
        <row r="40">
          <cell r="G40" t="str">
            <v>Provide technical assistance to establishment and operations of HIV civil society organisations</v>
          </cell>
          <cell r="H40" t="str">
            <v>Create regional information and resource centres to provide technical support to NGOs in two oblasts</v>
          </cell>
          <cell r="I40" t="str">
            <v>TA for regional sites and information databases</v>
          </cell>
          <cell r="U40" t="str">
            <v>see budget assumptions</v>
          </cell>
        </row>
        <row r="41">
          <cell r="H41" t="str">
            <v>Provide individual counseling and advice on issues related to technical (programme implementation), legal and organizational development</v>
          </cell>
        </row>
        <row r="42">
          <cell r="H42" t="str">
            <v>Individual support on development of financial management mechanisms for HIV/AIDS civil society organizations, inlcuding budgeting, audit and drafting plans for strengthening financial systems</v>
          </cell>
        </row>
        <row r="43">
          <cell r="H43" t="str">
            <v xml:space="preserve">Institutional capacity building of AIDS service organizations, assistance with issues related to registration, strategic planning, development of programme documentation, policies and procedures </v>
          </cell>
        </row>
        <row r="44">
          <cell r="G44" t="str">
            <v>PR programmatic staff costs</v>
          </cell>
          <cell r="I44" t="str">
            <v xml:space="preserve">As the level of effort changes over time a single unit cost cannot be applied for this line. Please refer to budget assumptions for detail on unit costs etc. </v>
          </cell>
          <cell r="U44" t="str">
            <v xml:space="preserve">As the level of effort changes over time a single unit cost cannot be applied for this line. Please refer to budget assumptions for detail on unit costs etc. </v>
          </cell>
        </row>
        <row r="48">
          <cell r="G48" t="str">
            <v xml:space="preserve">Provide access for HIV-service organisations to best practice (efficient  approaches and models) </v>
          </cell>
          <cell r="H48" t="str">
            <v>Documentation, analysis and dissemination of models of best practice in response to HIV/AIDS</v>
          </cell>
          <cell r="I48" t="str">
            <v>Documentation of best practices,  preparation and publishing of recommendations</v>
          </cell>
          <cell r="U48" t="str">
            <v>see budget assumptions</v>
          </cell>
        </row>
        <row r="49">
          <cell r="H49" t="str">
            <v>Analysis, adaptation, and dissemination of international best practices</v>
          </cell>
        </row>
        <row r="50">
          <cell r="H50" t="str">
            <v xml:space="preserve">Methodological support and provision of guidance in support of promotion of effective models and mobilization of civil society </v>
          </cell>
        </row>
        <row r="54">
          <cell r="G54" t="str">
            <v>Dissemination of expertise and development of new effective prevention and care activities</v>
          </cell>
          <cell r="H54" t="str">
            <v xml:space="preserve">Support for national conference of HIV-service organziations (partial funding) </v>
          </cell>
          <cell r="I54" t="str">
            <v xml:space="preserve">national conference </v>
          </cell>
          <cell r="U54" t="str">
            <v>see budget assumptions</v>
          </cell>
        </row>
        <row r="60">
          <cell r="G60" t="str">
            <v xml:space="preserve">Promote use of effective approaches through advocacy and other relevant activities </v>
          </cell>
          <cell r="H60" t="str">
            <v xml:space="preserve">Advocacy to introduce and practice the syndromic management of STIs in healthcare settings (STI service providers) </v>
          </cell>
          <cell r="I60" t="str">
            <v>national advocacy grant</v>
          </cell>
          <cell r="U60" t="str">
            <v>see budget assumptions</v>
          </cell>
        </row>
        <row r="61">
          <cell r="H61" t="str">
            <v>Work with marginalized and vulnerable youth groups to enhance demand for services</v>
          </cell>
          <cell r="I61" t="str">
            <v>social advertizing campaign</v>
          </cell>
          <cell r="U61" t="str">
            <v>see budget assumptions</v>
          </cell>
        </row>
        <row r="62">
          <cell r="H62" t="str">
            <v xml:space="preserve">Advocacy targeted at scale-up of ST and enhancement of relevant legislation, procedures for reform, and mass-media campaign </v>
          </cell>
          <cell r="I62" t="str">
            <v>national advocacy grant</v>
          </cell>
          <cell r="U62" t="str">
            <v>see budget assumptions</v>
          </cell>
        </row>
        <row r="63">
          <cell r="H63" t="str">
            <v xml:space="preserve">Advocate and provide technical assistance to reduce ART prices, develop policies and change legislation to enhance access to ART </v>
          </cell>
          <cell r="I63" t="str">
            <v>national advocacy grant</v>
          </cell>
          <cell r="U63" t="str">
            <v>see budget assumptions</v>
          </cell>
        </row>
        <row r="64">
          <cell r="H64" t="str">
            <v>Scale-up activities targeted at protection of rights of children with HIV</v>
          </cell>
          <cell r="I64" t="str">
            <v>national advocacy grant</v>
          </cell>
          <cell r="U64" t="str">
            <v>see budget assumptions</v>
          </cell>
        </row>
        <row r="65">
          <cell r="H65" t="str">
            <v>Support for local NGOs initiatives and communities in conducting advocacy campaigns</v>
          </cell>
          <cell r="I65" t="str">
            <v>small grant</v>
          </cell>
          <cell r="U65" t="str">
            <v>see budget assumptions</v>
          </cell>
        </row>
        <row r="66">
          <cell r="H66" t="str">
            <v>Promotion of access to condoms and lubricants</v>
          </cell>
          <cell r="I66" t="str">
            <v>local campaign</v>
          </cell>
          <cell r="U66" t="str">
            <v>see budget assumptions</v>
          </cell>
        </row>
        <row r="67">
          <cell r="G67" t="str">
            <v>PR programmatic staff costs</v>
          </cell>
          <cell r="I67" t="str">
            <v xml:space="preserve">As the level of effort changes over time a single unit cost cannot be applied for this line. Please refer to budget assumptions for detail on unit costs etc. </v>
          </cell>
          <cell r="U67" t="str">
            <v xml:space="preserve">As the level of effort changes over time a single unit cost cannot be applied for this line. Please refer to budget assumptions for detail on unit costs etc. </v>
          </cell>
        </row>
        <row r="71">
          <cell r="H71" t="str">
            <v xml:space="preserve">Develop national advocacy plan, support coordination of national advocacy activities and campaigns </v>
          </cell>
          <cell r="I71" t="str">
            <v xml:space="preserve">grant for activities coordination </v>
          </cell>
          <cell r="U71" t="str">
            <v>see budget assumptions</v>
          </cell>
        </row>
        <row r="75">
          <cell r="G75" t="str">
            <v xml:space="preserve">Protect the rights of people infected with HIV-infected in people and their family members in the workplace, and implement programme to reduce HIV-related stigma in the workplace </v>
          </cell>
          <cell r="H75" t="str">
            <v>Train 25 trainers among state labour inspectors on protection of labour rights with regard to HIV/AIDS</v>
          </cell>
          <cell r="I75" t="str">
            <v>ТоТ, 2 levels</v>
          </cell>
          <cell r="U75" t="str">
            <v>see budget assumptions</v>
          </cell>
        </row>
        <row r="76">
          <cell r="H76" t="str">
            <v>Develop and publish training and methodological materials</v>
          </cell>
          <cell r="I76" t="str">
            <v>published items</v>
          </cell>
          <cell r="U76" t="str">
            <v>see budget assumptions</v>
          </cell>
        </row>
        <row r="77">
          <cell r="H77" t="str">
            <v>Provide ongoing training for 700 state inspectors for labour in all 27 regions of Ukraine</v>
          </cell>
          <cell r="I77" t="str">
            <v>training (oblast)</v>
          </cell>
          <cell r="U77" t="str">
            <v>see budget assumptions</v>
          </cell>
        </row>
        <row r="78">
          <cell r="H78" t="str">
            <v>Supervision and monitoring of the activities of trainers, provision of technical support to labour inspections, accountability</v>
          </cell>
          <cell r="I78" t="str">
            <v>local experts</v>
          </cell>
          <cell r="U78" t="str">
            <v>see budget assumptions</v>
          </cell>
        </row>
        <row r="82">
          <cell r="G82" t="str">
            <v xml:space="preserve">Strengthen protection of medical workers at work, advocating for ensuring post exposure prophylaxis  </v>
          </cell>
          <cell r="H82" t="str">
            <v>Conduct training for trainers for members of trade unions of medical staff in all 27 regions of Ukraine</v>
          </cell>
          <cell r="I82" t="str">
            <v>training (city)</v>
          </cell>
          <cell r="U82" t="str">
            <v>see budget assumptions</v>
          </cell>
        </row>
        <row r="83">
          <cell r="H83" t="str">
            <v xml:space="preserve">Supervision and monitoring of activities of trainers at work, provision of technical support to the primary trade unions, accountability </v>
          </cell>
          <cell r="I83" t="str">
            <v>local experts</v>
          </cell>
          <cell r="U83" t="str">
            <v>see budget assumptions</v>
          </cell>
        </row>
        <row r="84">
          <cell r="H84" t="str">
            <v>Provide information through trade unions on unviersal precautions and PEP, including training materials</v>
          </cell>
          <cell r="I84" t="str">
            <v>published items</v>
          </cell>
          <cell r="U84" t="str">
            <v>see budget assumptions</v>
          </cell>
        </row>
        <row r="85">
          <cell r="H85" t="str">
            <v>Advocate for strengthening protection of health care workers in universal access to PEP</v>
          </cell>
          <cell r="I85" t="str">
            <v>round tables, other events</v>
          </cell>
          <cell r="U85" t="str">
            <v>see budget assumptions</v>
          </cell>
        </row>
      </sheetData>
      <sheetData sheetId="9">
        <row r="2">
          <cell r="Y2">
            <v>0</v>
          </cell>
        </row>
        <row r="3">
          <cell r="Y3">
            <v>0</v>
          </cell>
        </row>
        <row r="5">
          <cell r="J5" t="str">
            <v>Subactivities Tasks:</v>
          </cell>
          <cell r="L5" t="str">
            <v>Description of Units (e.g workshops, patients, services)</v>
          </cell>
          <cell r="Y5" t="str">
            <v>Costing assumptions</v>
          </cell>
        </row>
        <row r="16">
          <cell r="J16" t="str">
            <v xml:space="preserve">Monitoring visits to subgrantees </v>
          </cell>
          <cell r="L16" t="str">
            <v>TA/ME visit</v>
          </cell>
          <cell r="Y16" t="str">
            <v>Please see detailed assumptions for monitoring/TA visits</v>
          </cell>
        </row>
        <row r="17">
          <cell r="J17" t="str">
            <v>Technical assistance for M&amp;E programming and documentation</v>
          </cell>
          <cell r="L17" t="str">
            <v>External consultancies</v>
          </cell>
          <cell r="Y17" t="str">
            <v>4 consultancies per year are assumed with average fee of $3000</v>
          </cell>
        </row>
        <row r="18">
          <cell r="J18" t="str">
            <v>Routine monitoring implemented by the PRs</v>
          </cell>
          <cell r="L18" t="str">
            <v>M&amp;E programme staff costs (routine monitoring, operational research and external evaluations)</v>
          </cell>
          <cell r="Y18" t="str">
            <v>see detailed budget assumptions</v>
          </cell>
        </row>
        <row r="20">
          <cell r="J20" t="str">
            <v>Support of databases used by the Alliance and their sub-recepients for record keeping and reporting in prevention-related activities</v>
          </cell>
          <cell r="L20" t="str">
            <v>Database consultancy</v>
          </cell>
          <cell r="Y20" t="str">
            <v>Four part-time consultancies per year for database support are assumed with each consultant's level of effort estimated at $500 gross per month (adapted adequately for periods less than a year). $500 * 12 = $6000 + $1500 visits to the regions</v>
          </cell>
        </row>
        <row r="21">
          <cell r="J21" t="str">
            <v xml:space="preserve">Conducting trainings for PRs' sub-recepients on M&amp;E issues / databases usage </v>
          </cell>
          <cell r="L21" t="str">
            <v>Training</v>
          </cell>
          <cell r="Y21" t="str">
            <v>Training workshop for 30 people for 3 days, see detailed budget assumptions for trainings</v>
          </cell>
        </row>
        <row r="22">
          <cell r="J22" t="str">
            <v>Provision of TA to Network PR in M&amp;E</v>
          </cell>
          <cell r="L22" t="str">
            <v>TA workshops</v>
          </cell>
          <cell r="Y22" t="str">
            <v xml:space="preserve">TA visits' costs would be included in M&amp;E staff salaries, since Network head-office is located in Kyiv. 4 day trainings for 22 participants would cost $10,000 each (see budget assumptions for trainings). </v>
          </cell>
        </row>
        <row r="23">
          <cell r="J23" t="str">
            <v xml:space="preserve">Capacity building and training for M&amp;E staff at PRs and sub-recepients </v>
          </cell>
          <cell r="L23" t="str">
            <v>participation in confernces / workshops / seminars</v>
          </cell>
          <cell r="Y23" t="str">
            <v xml:space="preserve">It is assumed that participation in a  confernce / workshop / seminar would cost on average $2500 per person (about $4000 for a 3-day international event and about $1000 for a 3-day local event). </v>
          </cell>
        </row>
        <row r="27">
          <cell r="J27" t="str">
            <v>Operational research on programmatic activities among IDUs</v>
          </cell>
          <cell r="L27" t="str">
            <v>operational survey</v>
          </cell>
          <cell r="Y27" t="str">
            <v>see detailed cost assumption for operational survey</v>
          </cell>
        </row>
        <row r="28">
          <cell r="J28" t="str">
            <v>Operational research on programmatic activities among FSW</v>
          </cell>
          <cell r="L28" t="str">
            <v>operational survey</v>
          </cell>
          <cell r="Y28" t="str">
            <v>see detailed cost assumption for operational survey</v>
          </cell>
        </row>
        <row r="29">
          <cell r="J29" t="str">
            <v>Operational research on programmatic activities among prisoners</v>
          </cell>
          <cell r="L29" t="str">
            <v>operational survey</v>
          </cell>
          <cell r="Y29" t="str">
            <v>see detailed cost assumption for operational survey</v>
          </cell>
        </row>
        <row r="30">
          <cell r="J30" t="str">
            <v>Operational research on programmatic activities among  MSM</v>
          </cell>
          <cell r="L30" t="str">
            <v>operational survey</v>
          </cell>
          <cell r="Y30" t="str">
            <v>see detailed cost assumption for operational survey</v>
          </cell>
        </row>
        <row r="34">
          <cell r="J34" t="str">
            <v xml:space="preserve">External evaluation of prevention component, including lessons learned and sustainabillity assessment </v>
          </cell>
          <cell r="L34" t="str">
            <v>evaluation survey</v>
          </cell>
          <cell r="Y34" t="str">
            <v>see detailed cost assumption for operational survey</v>
          </cell>
        </row>
        <row r="35">
          <cell r="J35" t="str">
            <v>Public monitoring of programmatic activities</v>
          </cell>
          <cell r="Y35" t="str">
            <v>see detailed cost assumption for operational survey</v>
          </cell>
        </row>
        <row r="36">
          <cell r="J36" t="str">
            <v>Mid-term external evaluation of the GF programm</v>
          </cell>
          <cell r="Y36" t="str">
            <v>see detailed cost assumption for operational survey</v>
          </cell>
        </row>
        <row r="37">
          <cell r="J37" t="str">
            <v>Final external evaluation of the GF programm</v>
          </cell>
          <cell r="Y37" t="str">
            <v>see detailed cost assumption for operational survey</v>
          </cell>
        </row>
        <row r="41">
          <cell r="J41" t="str">
            <v xml:space="preserve">Monitoring visits to subgrantees </v>
          </cell>
          <cell r="L41" t="str">
            <v>TA/ME visit</v>
          </cell>
          <cell r="Y41" t="str">
            <v>Please see detailed assumptions for monitoring/TA visits</v>
          </cell>
        </row>
        <row r="42">
          <cell r="J42" t="str">
            <v>Technical assistance for M&amp;E programming and documentation</v>
          </cell>
          <cell r="L42" t="str">
            <v>External consultant's salaries</v>
          </cell>
          <cell r="Y42" t="str">
            <v>Average consultant's salary is assumed at $1000 gross per month. $1000 * 12 = $12000</v>
          </cell>
        </row>
        <row r="43">
          <cell r="J43" t="str">
            <v>Routine monitoring implemented by the PRs</v>
          </cell>
          <cell r="L43" t="str">
            <v>M&amp;E programme staff costs</v>
          </cell>
          <cell r="Y43" t="str">
            <v>see detailed budget assumptions for routine monitoring costs</v>
          </cell>
        </row>
        <row r="44">
          <cell r="J44" t="str">
            <v>Development of client database for care and support projects</v>
          </cell>
          <cell r="L44" t="str">
            <v>Database consultancy</v>
          </cell>
          <cell r="Y44" t="str">
            <v>The cost of database development and piloting is assumed at $ 20 000: 12 000 of salaries to db developer + $3000 for TA visits to the regions + 5 round tables ($1000 each with local and national experts)</v>
          </cell>
        </row>
        <row r="45">
          <cell r="J45" t="str">
            <v>Support of the client database for care and support projects</v>
          </cell>
          <cell r="L45" t="str">
            <v>Database consultancy</v>
          </cell>
          <cell r="Y45" t="str">
            <v>Four part-time consultancies per year for database support are assumed with each consultant's level of effort estimated at $500 gross per month (adapted adequately for periods less than a year). $500 * 12 = $6000 + $1500 visits to the regions</v>
          </cell>
        </row>
        <row r="46">
          <cell r="J46" t="str">
            <v xml:space="preserve">Conducting trainings for PRs' sub-recepients on M&amp;E issues / databases usage </v>
          </cell>
          <cell r="L46" t="str">
            <v>Training</v>
          </cell>
          <cell r="Y46" t="str">
            <v>Training workshop for 30 people for 3 days, see detailed budget assumptions for trainings</v>
          </cell>
        </row>
        <row r="47">
          <cell r="J47" t="str">
            <v>PR programmatic staff costs</v>
          </cell>
          <cell r="L47" t="str">
            <v>total - see staff costing assumptions</v>
          </cell>
        </row>
        <row r="48">
          <cell r="J48" t="str">
            <v xml:space="preserve">Capacity building and training for M&amp;E staff at PRs and sub-recepients </v>
          </cell>
          <cell r="L48" t="str">
            <v>participation in confernces / workshops / seminars</v>
          </cell>
          <cell r="Y48" t="str">
            <v xml:space="preserve">It is assumed that participation in a  confernce / workshop / seminar would cost on average $2500 per person (about $4000 for a 3-day international event and about $1000 for a 3-day local event). </v>
          </cell>
        </row>
        <row r="52">
          <cell r="J52" t="str">
            <v xml:space="preserve">Operational research on  programmatic activities among PLHA </v>
          </cell>
          <cell r="L52" t="str">
            <v>operational survey</v>
          </cell>
          <cell r="Y52" t="str">
            <v>see detailed cost assumption for operational survey</v>
          </cell>
        </row>
        <row r="53">
          <cell r="J53" t="str">
            <v>Operational reseasrch on programmatic activities on children living with and/or affected by HIV/AIDS</v>
          </cell>
          <cell r="Y53" t="str">
            <v>see detailed cost assumption for operational survey</v>
          </cell>
        </row>
        <row r="54">
          <cell r="J54" t="str">
            <v xml:space="preserve">External evaluation of care and support component, including lessons learned and sustainabillity assessment </v>
          </cell>
          <cell r="L54" t="str">
            <v>evaluation survey</v>
          </cell>
          <cell r="Y54" t="str">
            <v>see detailed cost assumption for operational survey</v>
          </cell>
        </row>
        <row r="60">
          <cell r="J60" t="str">
            <v>Technical and administrative support to National M&amp;E unit</v>
          </cell>
          <cell r="L60" t="str">
            <v>administrative and staff costs per year</v>
          </cell>
          <cell r="Y60" t="str">
            <v>see detailed cost assumption for M&amp;E cost unit</v>
          </cell>
        </row>
        <row r="61">
          <cell r="J61" t="str">
            <v>Coordination of Natonal monitoring implemented by the PRs</v>
          </cell>
          <cell r="L61" t="str">
            <v>M&amp;E programme staff costs</v>
          </cell>
          <cell r="Y61" t="str">
            <v>see budget assumptions</v>
          </cell>
        </row>
        <row r="62">
          <cell r="J62" t="str">
            <v>Support of dissemination of M&amp;E data and strategic information</v>
          </cell>
          <cell r="L62" t="str">
            <v>number of reports</v>
          </cell>
          <cell r="Y62" t="str">
            <v>$3 per report including writing, editing, design, printing and dissemination</v>
          </cell>
        </row>
        <row r="63">
          <cell r="J63" t="str">
            <v>Training of M&amp;E focal points on national, sectoral and regional levels for carrying out regular monitoring and evaluation of program implementation</v>
          </cell>
          <cell r="L63" t="str">
            <v>trainings</v>
          </cell>
          <cell r="Y63" t="str">
            <v>Training for 33 participants for 2 days, see detailed budget for trainings</v>
          </cell>
        </row>
        <row r="64">
          <cell r="J64" t="str">
            <v>Establishment of national M&amp;E information system (CRIS roll-out at national and oblast level)</v>
          </cell>
          <cell r="L64" t="str">
            <v>oblast M&amp;E trainings and database roll-out</v>
          </cell>
          <cell r="Y64" t="str">
            <v>support for staff of oblast M&amp;E units ($4000), equipment needed for database running ($2000), local trainings ($6000), printing materials ($1000), treval and administrative costs ($2000)</v>
          </cell>
        </row>
        <row r="65">
          <cell r="J65" t="str">
            <v>Support of national M&amp;E information system (CRIS) at national and oblast level</v>
          </cell>
          <cell r="L65" t="str">
            <v>database usage support</v>
          </cell>
          <cell r="Y65" t="str">
            <v>partly support for staff of oblast M&amp;E units ($2000), local trainings ($2000), treval and administrative costs ($1000)</v>
          </cell>
        </row>
        <row r="66">
          <cell r="J66" t="str">
            <v>Development of National system for programmatic M&amp;E</v>
          </cell>
          <cell r="L66" t="str">
            <v>workshops</v>
          </cell>
          <cell r="Y66" t="str">
            <v>Training workshop for 30 people for 3 days, see detailed budget assumptions for trainings</v>
          </cell>
        </row>
        <row r="67">
          <cell r="J67" t="str">
            <v>Development of system of financial monitoring of the response to HIV/AIDS</v>
          </cell>
          <cell r="L67" t="str">
            <v xml:space="preserve">annual survey using NASA\NHA methodology </v>
          </cell>
          <cell r="Y67" t="str">
            <v>survey: local consultants (27*$750), training for local researches ($5000), 2 national researches ($15000), travel on 12 sites ($3000), printing and desimination of report ($6000), other admin costs ($750)</v>
          </cell>
        </row>
        <row r="68">
          <cell r="J68" t="str">
            <v>Support for National M&amp;E conference</v>
          </cell>
          <cell r="L68" t="str">
            <v>logistics for the conference</v>
          </cell>
          <cell r="Y68" t="str">
            <v>travel and accomodation, food and logistic costs for 200 participants for 3 day conference (290$ each), equipment and printing the materials ($2000)</v>
          </cell>
        </row>
        <row r="72">
          <cell r="J72" t="str">
            <v xml:space="preserve">On-site support for routine epidemiological surveillance </v>
          </cell>
          <cell r="L72" t="str">
            <v>TA visits in the regions</v>
          </cell>
          <cell r="Y72" t="str">
            <v>Please see detailed assumptions for monitoring/TA visits</v>
          </cell>
        </row>
        <row r="73">
          <cell r="J73" t="str">
            <v>Conducting sentinel surveillance among IDU, FSW, MSM and other vulnerable groups</v>
          </cell>
          <cell r="L73" t="str">
            <v>grant to AIDS centres</v>
          </cell>
          <cell r="Y73" t="str">
            <v>see detailed budget for surveillance</v>
          </cell>
        </row>
        <row r="74">
          <cell r="J74" t="str">
            <v>Other special epidemiological surveys</v>
          </cell>
          <cell r="L74" t="str">
            <v>survey</v>
          </cell>
          <cell r="Y74" t="str">
            <v>see detailed cost assumption for other epidimiological surveys</v>
          </cell>
        </row>
        <row r="75">
          <cell r="J75" t="str">
            <v>Support for specialized SGS research (integrated biologiocal and behavioral studies)</v>
          </cell>
          <cell r="L75" t="str">
            <v>survey</v>
          </cell>
          <cell r="Y75" t="str">
            <v>see detailed cost assumption</v>
          </cell>
        </row>
        <row r="76">
          <cell r="J76" t="str">
            <v>Survey on estimates of size of most at risk populations</v>
          </cell>
          <cell r="L76" t="str">
            <v>survey</v>
          </cell>
          <cell r="Y76" t="str">
            <v>see detailed cost assumptions</v>
          </cell>
        </row>
        <row r="77">
          <cell r="J77" t="str">
            <v>Research and data collection for national M&amp;E indicators</v>
          </cell>
          <cell r="L77" t="str">
            <v>survey</v>
          </cell>
          <cell r="Y77" t="str">
            <v>see detailed cost assumption</v>
          </cell>
        </row>
      </sheetData>
      <sheetData sheetId="10"/>
      <sheetData sheetId="11"/>
      <sheetData sheetId="12"/>
      <sheetData sheetId="13"/>
      <sheetData sheetId="1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V Phase II Summary"/>
      <sheetName val="xHP reqd year 3"/>
      <sheetName val="xHP reqd year 3 - 1st proc"/>
      <sheetName val="xCalc of needs - Yr 3 summary"/>
      <sheetName val="xCalc of needs Yrs 3-5"/>
      <sheetName val="xDetail - ADULT drug needs"/>
      <sheetName val="Detail-ADULT patient nos"/>
      <sheetName val="Detail-CHILDREN patient nos"/>
      <sheetName val="Drug needs &amp; prices assumptions"/>
      <sheetName val="Adult patient regimens 1-10-05"/>
      <sheetName val="Adult patients regimens 1-10-05"/>
      <sheetName val="Peds - Inputs regime 1"/>
      <sheetName val="Peds - regime 1"/>
      <sheetName val="Childrens regimens"/>
      <sheetName val="Children_%"/>
      <sheetName val="ARVchildren_Calc"/>
      <sheetName val="xDrug names and abbreviations"/>
      <sheetName val="Stocks at 1-10-05"/>
      <sheetName val="Drug needs _ prices assumptions"/>
      <sheetName val="Currencies"/>
      <sheetName val="OB2"/>
    </sheetNames>
    <sheetDataSet>
      <sheetData sheetId="0"/>
      <sheetData sheetId="1"/>
      <sheetData sheetId="2"/>
      <sheetData sheetId="3"/>
      <sheetData sheetId="4"/>
      <sheetData sheetId="5"/>
      <sheetData sheetId="6"/>
      <sheetData sheetId="7"/>
      <sheetData sheetId="8" refreshError="1">
        <row r="7">
          <cell r="E7">
            <v>15.76</v>
          </cell>
        </row>
        <row r="15">
          <cell r="E15">
            <v>179.58</v>
          </cell>
        </row>
      </sheetData>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R-5 (Youth Projects)"/>
      <sheetName val="BUDGET99-DETAILED"/>
      <sheetName val="Budget Notes "/>
      <sheetName val="BUDGET99-SUMMARY"/>
      <sheetName val="Reporting Instructions"/>
      <sheetName val="QR-3(A)"/>
      <sheetName val="QR-3(B)"/>
      <sheetName val="QR-3(C)"/>
      <sheetName val="QR-3(D)"/>
      <sheetName val="QR-4(A)"/>
      <sheetName val="QR-4(B)"/>
      <sheetName val="QR-5 (Prevention &amp; Care Proj)"/>
      <sheetName val="QR-6 (Projects 1995)"/>
      <sheetName val="QR-6 (Projects 1996)"/>
      <sheetName val="QR-6 (Projects 1997)"/>
      <sheetName val="QR-6 (Projects 1998)"/>
      <sheetName val="QR-1 Summary"/>
      <sheetName val="QR-R   Funds Request"/>
      <sheetName val="SUMMARY EXPENDITURES REPORT"/>
      <sheetName val="AR-6a (World Bank)"/>
      <sheetName val="AR-6a (EC, UNFPA)"/>
      <sheetName val="AR-6a (USAID) "/>
      <sheetName val="AR-6b (Projects - 1997) "/>
      <sheetName val="AR-6b (Projects - 1998)"/>
      <sheetName val="AR-3(A) "/>
      <sheetName val="AR-3(B) "/>
      <sheetName val="AR-3(C) "/>
      <sheetName val="AR-3(D) "/>
      <sheetName val="AR-4(A) "/>
      <sheetName val="AR-4(B) "/>
      <sheetName val="AR-1 Summary "/>
      <sheetName val="AR-5B Benefics"/>
      <sheetName val="AR-2 Fundbal"/>
      <sheetName val="Salary Grid 1999"/>
      <sheetName val="Salaries 1999"/>
      <sheetName val="Rates - Per Diems &amp; Costs 1999"/>
    </sheetNames>
    <sheetDataSet>
      <sheetData sheetId="0" refreshError="1">
        <row r="6">
          <cell r="B6" t="str">
            <v>Projects Contracted During the Current Year</v>
          </cell>
        </row>
      </sheetData>
      <sheetData sheetId="1"/>
      <sheetData sheetId="2"/>
      <sheetData sheetId="3"/>
      <sheetData sheetId="4"/>
      <sheetData sheetId="5"/>
      <sheetData sheetId="6"/>
      <sheetData sheetId="7"/>
      <sheetData sheetId="8"/>
      <sheetData sheetId="9"/>
      <sheetData sheetId="10">
        <row r="6">
          <cell r="B6" t="str">
            <v>Projects Contracted During the Current Year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HP reqd year 3_1st Procurement"/>
      <sheetName val="xCalculation of needs - summary"/>
      <sheetName val="Detailed workings sheet_23-9-05"/>
      <sheetName val="3000-4000июль"/>
      <sheetName val="Detailed workings sheet"/>
      <sheetName val="Drug needs &amp; prices assumptions"/>
      <sheetName val="ARVchildren_Calc"/>
      <sheetName val="New Cost Categories"/>
    </sheetNames>
    <sheetDataSet>
      <sheetData sheetId="0"/>
      <sheetData sheetId="1"/>
      <sheetData sheetId="2"/>
      <sheetData sheetId="3"/>
      <sheetData sheetId="4"/>
      <sheetData sheetId="5">
        <row r="19">
          <cell r="E19">
            <v>1.1000000000000001</v>
          </cell>
        </row>
      </sheetData>
      <sheetData sheetId="6"/>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 overspend (2)"/>
      <sheetName val="AU overspend"/>
      <sheetName val="PSM overspend"/>
      <sheetName val="original budget Y5"/>
      <sheetName val="budget Y5+NCE"/>
      <sheetName val="Лист3"/>
    </sheetNames>
    <sheetDataSet>
      <sheetData sheetId="0" refreshError="1"/>
      <sheetData sheetId="1" refreshError="1"/>
      <sheetData sheetId="2" refreshError="1"/>
      <sheetData sheetId="3">
        <row r="3">
          <cell r="A3" t="str">
            <v>A5000</v>
          </cell>
          <cell r="C3" t="str">
            <v>Salaries</v>
          </cell>
          <cell r="D3" t="str">
            <v>GAE</v>
          </cell>
        </row>
        <row r="4">
          <cell r="C4" t="str">
            <v>Salaries</v>
          </cell>
          <cell r="D4" t="str">
            <v>GAE</v>
          </cell>
        </row>
        <row r="5">
          <cell r="C5" t="str">
            <v>Salaries</v>
          </cell>
          <cell r="D5" t="str">
            <v>GAE</v>
          </cell>
        </row>
        <row r="6">
          <cell r="C6" t="str">
            <v>Salaries</v>
          </cell>
          <cell r="D6" t="str">
            <v>GAE</v>
          </cell>
        </row>
        <row r="7">
          <cell r="C7" t="str">
            <v>Salaries</v>
          </cell>
          <cell r="D7" t="str">
            <v>GAE</v>
          </cell>
        </row>
        <row r="8">
          <cell r="C8" t="str">
            <v>Technical Assistance</v>
          </cell>
          <cell r="D8" t="str">
            <v>GAE</v>
          </cell>
        </row>
        <row r="9">
          <cell r="C9" t="str">
            <v>Travel</v>
          </cell>
          <cell r="D9" t="str">
            <v>GAE</v>
          </cell>
        </row>
        <row r="10">
          <cell r="C10" t="str">
            <v>Workshops and Meetings</v>
          </cell>
          <cell r="D10" t="str">
            <v>GAE</v>
          </cell>
        </row>
        <row r="11">
          <cell r="C11" t="str">
            <v>Office Costs</v>
          </cell>
          <cell r="D11" t="str">
            <v>GAE</v>
          </cell>
        </row>
        <row r="12">
          <cell r="C12" t="str">
            <v>Workshops and Meetings</v>
          </cell>
          <cell r="D12" t="str">
            <v>GAE</v>
          </cell>
        </row>
        <row r="13">
          <cell r="C13" t="str">
            <v>Procurement, Equipment and Supplies</v>
          </cell>
          <cell r="D13" t="str">
            <v>ITE</v>
          </cell>
        </row>
        <row r="14">
          <cell r="C14" t="str">
            <v>Office Costs</v>
          </cell>
          <cell r="D14" t="str">
            <v>ITE</v>
          </cell>
        </row>
        <row r="15">
          <cell r="C15" t="str">
            <v>Office Costs</v>
          </cell>
          <cell r="D15" t="str">
            <v>ITE</v>
          </cell>
        </row>
        <row r="16">
          <cell r="C16" t="str">
            <v>Office Costs</v>
          </cell>
          <cell r="D16" t="str">
            <v>ITE</v>
          </cell>
        </row>
        <row r="17">
          <cell r="C17" t="str">
            <v>Office Costs</v>
          </cell>
          <cell r="D17" t="str">
            <v>ADM</v>
          </cell>
        </row>
        <row r="18">
          <cell r="C18" t="str">
            <v>Office Costs</v>
          </cell>
          <cell r="D18" t="str">
            <v>ADM</v>
          </cell>
        </row>
        <row r="19">
          <cell r="C19" t="str">
            <v>Procurement, Equipment and Supplies</v>
          </cell>
          <cell r="D19" t="str">
            <v>ADM</v>
          </cell>
        </row>
        <row r="20">
          <cell r="C20" t="str">
            <v>Office Costs</v>
          </cell>
          <cell r="D20" t="str">
            <v>ADM</v>
          </cell>
        </row>
        <row r="21">
          <cell r="C21" t="str">
            <v>Office Costs</v>
          </cell>
          <cell r="D21" t="str">
            <v>ADM</v>
          </cell>
        </row>
        <row r="22">
          <cell r="C22" t="str">
            <v>Office Costs</v>
          </cell>
          <cell r="D22" t="str">
            <v>ADM</v>
          </cell>
        </row>
        <row r="23">
          <cell r="C23" t="str">
            <v>Office Costs</v>
          </cell>
          <cell r="D23" t="str">
            <v>ADM</v>
          </cell>
        </row>
        <row r="24">
          <cell r="C24" t="str">
            <v>Office Costs</v>
          </cell>
          <cell r="D24" t="str">
            <v>ADM</v>
          </cell>
        </row>
        <row r="25">
          <cell r="C25" t="str">
            <v>Office Costs</v>
          </cell>
          <cell r="D25" t="str">
            <v>ADM</v>
          </cell>
        </row>
        <row r="26">
          <cell r="C26" t="str">
            <v>Office Costs</v>
          </cell>
          <cell r="D26" t="str">
            <v>HRM</v>
          </cell>
        </row>
        <row r="27">
          <cell r="C27" t="str">
            <v>Office Costs</v>
          </cell>
          <cell r="D27" t="str">
            <v>HRM</v>
          </cell>
        </row>
        <row r="28">
          <cell r="C28" t="str">
            <v>Office Costs</v>
          </cell>
          <cell r="D28" t="str">
            <v>HRM</v>
          </cell>
        </row>
        <row r="29">
          <cell r="C29" t="str">
            <v>Office Costs</v>
          </cell>
          <cell r="D29" t="str">
            <v>HRM</v>
          </cell>
        </row>
        <row r="30">
          <cell r="C30" t="str">
            <v>Audit</v>
          </cell>
          <cell r="D30" t="str">
            <v>FIN</v>
          </cell>
        </row>
        <row r="31">
          <cell r="C31" t="str">
            <v>Office Costs</v>
          </cell>
          <cell r="D31" t="str">
            <v>FIN</v>
          </cell>
        </row>
        <row r="32">
          <cell r="C32" t="str">
            <v>Procurement, Equipment and Supplies</v>
          </cell>
          <cell r="D32" t="str">
            <v>FIN</v>
          </cell>
        </row>
        <row r="33">
          <cell r="C33" t="str">
            <v>Office Costs</v>
          </cell>
          <cell r="D33" t="str">
            <v>ADM</v>
          </cell>
        </row>
        <row r="34">
          <cell r="C34" t="str">
            <v>Office Costs</v>
          </cell>
          <cell r="D34" t="str">
            <v>ADM</v>
          </cell>
        </row>
        <row r="35">
          <cell r="C35" t="str">
            <v>Office Costs</v>
          </cell>
          <cell r="D35" t="str">
            <v>ADM</v>
          </cell>
        </row>
        <row r="36">
          <cell r="C36" t="str">
            <v>Office Costs</v>
          </cell>
          <cell r="D36" t="str">
            <v>ADM</v>
          </cell>
        </row>
        <row r="37">
          <cell r="C37" t="str">
            <v>Office Costs</v>
          </cell>
          <cell r="D37" t="str">
            <v>ADM</v>
          </cell>
        </row>
        <row r="38">
          <cell r="C38" t="str">
            <v>Office Costs</v>
          </cell>
          <cell r="D38" t="str">
            <v>ADM</v>
          </cell>
        </row>
        <row r="39">
          <cell r="C39" t="str">
            <v>Office Costs</v>
          </cell>
          <cell r="D39" t="str">
            <v>ADM</v>
          </cell>
        </row>
        <row r="40">
          <cell r="C40" t="str">
            <v>Technical Assistance</v>
          </cell>
          <cell r="D40" t="str">
            <v>ADM</v>
          </cell>
        </row>
        <row r="41">
          <cell r="C41" t="str">
            <v>Workshops and Meetings</v>
          </cell>
          <cell r="D41" t="str">
            <v>ADM</v>
          </cell>
        </row>
        <row r="42">
          <cell r="C42" t="str">
            <v>Workshops and Meetings</v>
          </cell>
          <cell r="D42" t="str">
            <v>NAT</v>
          </cell>
        </row>
        <row r="43">
          <cell r="C43" t="str">
            <v>Travel</v>
          </cell>
          <cell r="D43" t="str">
            <v>FPD</v>
          </cell>
        </row>
        <row r="44">
          <cell r="C44" t="str">
            <v>Grants and Subawards</v>
          </cell>
          <cell r="D44" t="str">
            <v>NAT</v>
          </cell>
        </row>
        <row r="45">
          <cell r="C45" t="str">
            <v>Grants and Subawards</v>
          </cell>
          <cell r="D45" t="str">
            <v>NAT</v>
          </cell>
        </row>
        <row r="46">
          <cell r="C46" t="str">
            <v>Grants and Subawards</v>
          </cell>
          <cell r="D46" t="str">
            <v>NAT</v>
          </cell>
        </row>
        <row r="47">
          <cell r="C47" t="str">
            <v>Grants and Subawards</v>
          </cell>
          <cell r="D47" t="str">
            <v>NAT</v>
          </cell>
        </row>
        <row r="48">
          <cell r="C48" t="str">
            <v>Grants and Subawards</v>
          </cell>
          <cell r="D48" t="str">
            <v>NAT</v>
          </cell>
        </row>
        <row r="49">
          <cell r="C49" t="str">
            <v>Grants and Subawards</v>
          </cell>
          <cell r="D49" t="str">
            <v>NAT</v>
          </cell>
        </row>
        <row r="50">
          <cell r="C50" t="str">
            <v>Grants and Subawards</v>
          </cell>
          <cell r="D50" t="str">
            <v>NAT</v>
          </cell>
        </row>
        <row r="51">
          <cell r="C51" t="str">
            <v>Grants and Subawards</v>
          </cell>
          <cell r="D51" t="str">
            <v>NAT</v>
          </cell>
        </row>
        <row r="52">
          <cell r="C52" t="str">
            <v>Grants and Subawards</v>
          </cell>
          <cell r="D52" t="str">
            <v>NAT</v>
          </cell>
        </row>
        <row r="53">
          <cell r="C53" t="str">
            <v>Grants and Subawards</v>
          </cell>
          <cell r="D53" t="str">
            <v>NAT</v>
          </cell>
        </row>
        <row r="54">
          <cell r="C54" t="str">
            <v>Grants and Subawards</v>
          </cell>
          <cell r="D54" t="str">
            <v>NAT</v>
          </cell>
        </row>
        <row r="55">
          <cell r="C55" t="str">
            <v>Grants and Subawards</v>
          </cell>
          <cell r="D55" t="str">
            <v>NAT</v>
          </cell>
        </row>
        <row r="56">
          <cell r="C56" t="str">
            <v>Grants and Subawards</v>
          </cell>
          <cell r="D56" t="str">
            <v>NAT</v>
          </cell>
        </row>
        <row r="57">
          <cell r="C57" t="str">
            <v>Grants and Subawards</v>
          </cell>
          <cell r="D57" t="str">
            <v>NAT</v>
          </cell>
        </row>
        <row r="58">
          <cell r="C58" t="str">
            <v>Grants and Subawards</v>
          </cell>
          <cell r="D58" t="str">
            <v>NAT</v>
          </cell>
        </row>
        <row r="59">
          <cell r="C59" t="str">
            <v>Grants and Subawards</v>
          </cell>
          <cell r="D59" t="str">
            <v>NAT</v>
          </cell>
        </row>
        <row r="60">
          <cell r="C60" t="str">
            <v>Grants and Subawards</v>
          </cell>
          <cell r="D60" t="str">
            <v>NAT</v>
          </cell>
        </row>
        <row r="61">
          <cell r="C61" t="str">
            <v>Grants and Subawards</v>
          </cell>
          <cell r="D61" t="str">
            <v>NAT</v>
          </cell>
        </row>
        <row r="62">
          <cell r="C62" t="str">
            <v>Grants and Subawards</v>
          </cell>
          <cell r="D62" t="str">
            <v>NAT</v>
          </cell>
        </row>
        <row r="63">
          <cell r="C63" t="str">
            <v>Grants and Subawards</v>
          </cell>
          <cell r="D63" t="str">
            <v>NAT</v>
          </cell>
        </row>
        <row r="64">
          <cell r="C64" t="str">
            <v>Grants and Subawards</v>
          </cell>
          <cell r="D64" t="str">
            <v>EST</v>
          </cell>
        </row>
        <row r="65">
          <cell r="C65" t="str">
            <v>Grants and Subawards</v>
          </cell>
          <cell r="D65" t="str">
            <v>SOU</v>
          </cell>
        </row>
        <row r="66">
          <cell r="C66" t="str">
            <v>Grants and Subawards</v>
          </cell>
          <cell r="D66" t="str">
            <v>CEN</v>
          </cell>
        </row>
        <row r="67">
          <cell r="C67" t="str">
            <v>Procurement, Equipment and Supplies</v>
          </cell>
          <cell r="D67" t="str">
            <v>NAT</v>
          </cell>
        </row>
        <row r="68">
          <cell r="C68" t="str">
            <v>Grants and Subawards</v>
          </cell>
          <cell r="D68" t="str">
            <v>NAT</v>
          </cell>
        </row>
        <row r="69">
          <cell r="C69" t="str">
            <v>Grants and Subawards</v>
          </cell>
          <cell r="D69" t="str">
            <v>CEN</v>
          </cell>
        </row>
        <row r="70">
          <cell r="C70" t="str">
            <v>Grants and Subawards</v>
          </cell>
          <cell r="D70" t="str">
            <v>SOU</v>
          </cell>
        </row>
        <row r="71">
          <cell r="C71" t="str">
            <v>Grants and Subawards</v>
          </cell>
          <cell r="D71" t="str">
            <v>EST</v>
          </cell>
        </row>
        <row r="72">
          <cell r="C72" t="str">
            <v>Grants and Subawards</v>
          </cell>
          <cell r="D72" t="str">
            <v>EST</v>
          </cell>
        </row>
        <row r="73">
          <cell r="C73" t="str">
            <v>Grants and Subawards</v>
          </cell>
          <cell r="D73" t="str">
            <v>SOU</v>
          </cell>
        </row>
        <row r="74">
          <cell r="C74" t="str">
            <v>Grants and Subawards</v>
          </cell>
          <cell r="D74" t="str">
            <v>CEN</v>
          </cell>
        </row>
        <row r="75">
          <cell r="C75" t="str">
            <v>Grants and Subawards</v>
          </cell>
          <cell r="D75" t="str">
            <v>NAT</v>
          </cell>
        </row>
        <row r="76">
          <cell r="C76" t="str">
            <v>Grants and Subawards</v>
          </cell>
          <cell r="D76" t="str">
            <v>NAT</v>
          </cell>
        </row>
        <row r="77">
          <cell r="C77" t="str">
            <v>Grants and Subawards</v>
          </cell>
          <cell r="D77" t="str">
            <v>CEN</v>
          </cell>
        </row>
        <row r="78">
          <cell r="C78" t="str">
            <v>Grants and Subawards</v>
          </cell>
          <cell r="D78" t="str">
            <v>SOU</v>
          </cell>
        </row>
        <row r="79">
          <cell r="C79" t="str">
            <v>Grants and Subawards</v>
          </cell>
          <cell r="D79" t="str">
            <v>EST</v>
          </cell>
        </row>
        <row r="80">
          <cell r="C80" t="str">
            <v>Grants and Subawards</v>
          </cell>
          <cell r="D80" t="str">
            <v>NAT</v>
          </cell>
        </row>
        <row r="81">
          <cell r="C81" t="str">
            <v>Grants and Subawards</v>
          </cell>
          <cell r="D81" t="str">
            <v>CEN</v>
          </cell>
        </row>
        <row r="82">
          <cell r="C82" t="str">
            <v>Grants and Subawards</v>
          </cell>
          <cell r="D82" t="str">
            <v>SOU</v>
          </cell>
        </row>
        <row r="83">
          <cell r="C83" t="str">
            <v>Grants and Subawards</v>
          </cell>
          <cell r="D83" t="str">
            <v>EST</v>
          </cell>
        </row>
        <row r="84">
          <cell r="C84" t="str">
            <v>Grants and Subawards</v>
          </cell>
          <cell r="D84" t="str">
            <v>EST</v>
          </cell>
        </row>
        <row r="85">
          <cell r="C85" t="str">
            <v>Grants and Subawards</v>
          </cell>
          <cell r="D85" t="str">
            <v>SOU</v>
          </cell>
        </row>
        <row r="86">
          <cell r="C86" t="str">
            <v>Grants and Subawards</v>
          </cell>
          <cell r="D86" t="str">
            <v>CEN</v>
          </cell>
        </row>
        <row r="87">
          <cell r="C87" t="str">
            <v>Grants and Subawards</v>
          </cell>
          <cell r="D87" t="str">
            <v>NAT</v>
          </cell>
        </row>
        <row r="88">
          <cell r="C88" t="str">
            <v>Grants and Subawards</v>
          </cell>
          <cell r="D88" t="str">
            <v>EST</v>
          </cell>
        </row>
        <row r="89">
          <cell r="C89" t="str">
            <v>Grants and Subawards</v>
          </cell>
          <cell r="D89" t="str">
            <v>SOU</v>
          </cell>
        </row>
        <row r="90">
          <cell r="C90" t="str">
            <v>Grants and Subawards</v>
          </cell>
          <cell r="D90" t="str">
            <v>CEN</v>
          </cell>
        </row>
        <row r="91">
          <cell r="C91" t="str">
            <v>Grants and Subawards</v>
          </cell>
          <cell r="D91" t="str">
            <v>NAT</v>
          </cell>
        </row>
        <row r="92">
          <cell r="C92" t="str">
            <v>Grants and Subawards</v>
          </cell>
          <cell r="D92" t="str">
            <v>EST</v>
          </cell>
        </row>
        <row r="93">
          <cell r="C93" t="str">
            <v>Grants and Subawards</v>
          </cell>
          <cell r="D93" t="str">
            <v>SOU</v>
          </cell>
        </row>
        <row r="94">
          <cell r="C94" t="str">
            <v>Grants and Subawards</v>
          </cell>
          <cell r="D94" t="str">
            <v>CEN</v>
          </cell>
        </row>
        <row r="95">
          <cell r="C95" t="str">
            <v>Grants and Subawards</v>
          </cell>
          <cell r="D95" t="str">
            <v>NAT</v>
          </cell>
        </row>
        <row r="96">
          <cell r="C96" t="str">
            <v>Grants and Subawards</v>
          </cell>
          <cell r="D96" t="str">
            <v>EST</v>
          </cell>
        </row>
        <row r="97">
          <cell r="C97" t="str">
            <v>Grants and Subawards</v>
          </cell>
          <cell r="D97" t="str">
            <v>SOU</v>
          </cell>
        </row>
        <row r="98">
          <cell r="C98" t="str">
            <v>Grants and Subawards</v>
          </cell>
          <cell r="D98" t="str">
            <v>CEN</v>
          </cell>
        </row>
        <row r="99">
          <cell r="C99" t="str">
            <v>Grants and Subawards</v>
          </cell>
          <cell r="D99" t="str">
            <v>NAT</v>
          </cell>
        </row>
        <row r="100">
          <cell r="C100" t="str">
            <v>Grants and Subawards</v>
          </cell>
          <cell r="D100" t="str">
            <v>EST</v>
          </cell>
        </row>
        <row r="101">
          <cell r="C101" t="str">
            <v>Grants and Subawards</v>
          </cell>
          <cell r="D101" t="str">
            <v>SOU</v>
          </cell>
        </row>
        <row r="102">
          <cell r="C102" t="str">
            <v>Grants and Subawards</v>
          </cell>
          <cell r="D102" t="str">
            <v>CEN</v>
          </cell>
        </row>
        <row r="103">
          <cell r="C103" t="str">
            <v>Grants and Subawards</v>
          </cell>
          <cell r="D103" t="str">
            <v>NAT</v>
          </cell>
        </row>
        <row r="104">
          <cell r="C104" t="str">
            <v>Grants and Subawards</v>
          </cell>
          <cell r="D104" t="str">
            <v>NAT</v>
          </cell>
        </row>
        <row r="105">
          <cell r="C105" t="str">
            <v>Grants and Subawards</v>
          </cell>
          <cell r="D105" t="str">
            <v>CEN</v>
          </cell>
        </row>
        <row r="106">
          <cell r="C106" t="str">
            <v>Travel</v>
          </cell>
          <cell r="D106" t="str">
            <v>NAT</v>
          </cell>
        </row>
        <row r="107">
          <cell r="C107" t="str">
            <v>Travel</v>
          </cell>
          <cell r="D107" t="str">
            <v>CEN</v>
          </cell>
        </row>
        <row r="108">
          <cell r="C108" t="str">
            <v>Travel</v>
          </cell>
          <cell r="D108" t="str">
            <v>SOU</v>
          </cell>
        </row>
        <row r="109">
          <cell r="C109" t="str">
            <v>Travel</v>
          </cell>
          <cell r="D109" t="str">
            <v>EST</v>
          </cell>
        </row>
        <row r="110">
          <cell r="C110" t="str">
            <v>Workshops and Meetings</v>
          </cell>
          <cell r="D110" t="str">
            <v>NAT</v>
          </cell>
        </row>
        <row r="111">
          <cell r="C111" t="str">
            <v>Workshops and Meetings</v>
          </cell>
          <cell r="D111" t="str">
            <v>CEN</v>
          </cell>
        </row>
        <row r="112">
          <cell r="C112" t="str">
            <v>Workshops and Meetings</v>
          </cell>
          <cell r="D112" t="str">
            <v>SOU</v>
          </cell>
        </row>
        <row r="113">
          <cell r="C113" t="str">
            <v>Workshops and Meetings</v>
          </cell>
          <cell r="D113" t="str">
            <v>EST</v>
          </cell>
        </row>
        <row r="114">
          <cell r="C114" t="str">
            <v>Workshops and Meetings</v>
          </cell>
          <cell r="D114" t="str">
            <v>NAT</v>
          </cell>
        </row>
        <row r="115">
          <cell r="C115" t="str">
            <v>Grants and Subawards</v>
          </cell>
          <cell r="D115" t="str">
            <v>NAT</v>
          </cell>
        </row>
        <row r="116">
          <cell r="C116" t="str">
            <v>Grants and Subawards</v>
          </cell>
          <cell r="D116" t="str">
            <v>NAT</v>
          </cell>
        </row>
        <row r="117">
          <cell r="C117" t="str">
            <v>Grants and Subawards</v>
          </cell>
          <cell r="D117" t="str">
            <v>CEN</v>
          </cell>
        </row>
        <row r="118">
          <cell r="C118" t="str">
            <v>Grants and Subawards</v>
          </cell>
          <cell r="D118" t="str">
            <v>SOU</v>
          </cell>
        </row>
        <row r="119">
          <cell r="C119" t="str">
            <v>Grants and Subawards</v>
          </cell>
          <cell r="D119" t="str">
            <v>NAT</v>
          </cell>
        </row>
        <row r="120">
          <cell r="C120" t="str">
            <v>Grants and Subawards</v>
          </cell>
          <cell r="D120" t="str">
            <v>CEN</v>
          </cell>
        </row>
        <row r="121">
          <cell r="C121" t="str">
            <v>Grants and Subawards</v>
          </cell>
          <cell r="D121" t="str">
            <v>SOU</v>
          </cell>
        </row>
        <row r="122">
          <cell r="C122" t="str">
            <v>Grants and Subawards</v>
          </cell>
          <cell r="D122" t="str">
            <v>CEN</v>
          </cell>
        </row>
        <row r="123">
          <cell r="C123" t="str">
            <v>Grants and Subawards</v>
          </cell>
          <cell r="D123" t="str">
            <v>NAT</v>
          </cell>
        </row>
        <row r="124">
          <cell r="C124" t="str">
            <v>Grants and Subawards</v>
          </cell>
          <cell r="D124" t="str">
            <v>SOU</v>
          </cell>
        </row>
        <row r="125">
          <cell r="C125" t="str">
            <v>Grants and Subawards</v>
          </cell>
          <cell r="D125" t="str">
            <v>EST</v>
          </cell>
        </row>
        <row r="126">
          <cell r="C126" t="str">
            <v>Workshops and Meetings</v>
          </cell>
          <cell r="D126" t="str">
            <v>NAT</v>
          </cell>
        </row>
        <row r="127">
          <cell r="C127" t="str">
            <v>Workshops and Meetings</v>
          </cell>
          <cell r="D127" t="str">
            <v>NAT</v>
          </cell>
        </row>
        <row r="128">
          <cell r="C128" t="str">
            <v>Technical Assistance</v>
          </cell>
          <cell r="D128" t="str">
            <v>NAT</v>
          </cell>
        </row>
        <row r="129">
          <cell r="C129" t="str">
            <v>Technical Assistance</v>
          </cell>
          <cell r="D129" t="str">
            <v>NAT</v>
          </cell>
        </row>
        <row r="130">
          <cell r="C130" t="str">
            <v>Grants and Subawards</v>
          </cell>
          <cell r="D130" t="str">
            <v>NAT</v>
          </cell>
        </row>
        <row r="131">
          <cell r="C131" t="str">
            <v>Workshops and Meetings</v>
          </cell>
          <cell r="D131" t="str">
            <v>NAT</v>
          </cell>
        </row>
        <row r="132">
          <cell r="C132" t="str">
            <v>Grants and Subawards</v>
          </cell>
          <cell r="D132" t="str">
            <v>NAT</v>
          </cell>
        </row>
        <row r="133">
          <cell r="C133" t="str">
            <v>Grants and Subawards</v>
          </cell>
          <cell r="D133" t="str">
            <v>NAT</v>
          </cell>
        </row>
        <row r="134">
          <cell r="C134" t="str">
            <v>Grants and Subawards</v>
          </cell>
          <cell r="D134" t="str">
            <v>CEN</v>
          </cell>
        </row>
        <row r="135">
          <cell r="C135" t="str">
            <v>Grants and Subawards</v>
          </cell>
          <cell r="D135" t="str">
            <v>SOU</v>
          </cell>
        </row>
        <row r="136">
          <cell r="C136" t="str">
            <v>Grants and Subawards</v>
          </cell>
          <cell r="D136" t="str">
            <v>EST</v>
          </cell>
        </row>
        <row r="137">
          <cell r="C137" t="str">
            <v>Grants and Subawards</v>
          </cell>
          <cell r="D137" t="str">
            <v>NAT</v>
          </cell>
        </row>
        <row r="138">
          <cell r="C138" t="str">
            <v>Grants and Subawards</v>
          </cell>
          <cell r="D138" t="str">
            <v>CEN</v>
          </cell>
        </row>
        <row r="139">
          <cell r="C139" t="str">
            <v>Grants and Subawards</v>
          </cell>
          <cell r="D139" t="str">
            <v>SOU</v>
          </cell>
        </row>
        <row r="140">
          <cell r="C140" t="str">
            <v>Grants and Subawards</v>
          </cell>
          <cell r="D140" t="str">
            <v>EST</v>
          </cell>
        </row>
        <row r="141">
          <cell r="C141" t="str">
            <v>Grants and Subawards</v>
          </cell>
          <cell r="D141" t="str">
            <v>EST</v>
          </cell>
        </row>
        <row r="142">
          <cell r="C142" t="str">
            <v>Grants and Subawards</v>
          </cell>
          <cell r="D142" t="str">
            <v>SOU</v>
          </cell>
        </row>
        <row r="143">
          <cell r="C143" t="str">
            <v>Grants and Subawards</v>
          </cell>
          <cell r="D143" t="str">
            <v>CEN</v>
          </cell>
        </row>
        <row r="144">
          <cell r="C144" t="str">
            <v>Grants and Subawards</v>
          </cell>
          <cell r="D144" t="str">
            <v>NAT</v>
          </cell>
        </row>
        <row r="145">
          <cell r="C145" t="str">
            <v>Grants and Subawards</v>
          </cell>
          <cell r="D145" t="str">
            <v>NAT</v>
          </cell>
        </row>
        <row r="146">
          <cell r="C146" t="str">
            <v>Grants and Subawards</v>
          </cell>
          <cell r="D146" t="str">
            <v>CEN</v>
          </cell>
        </row>
        <row r="147">
          <cell r="C147" t="str">
            <v>Grants and Subawards</v>
          </cell>
          <cell r="D147" t="str">
            <v>EST</v>
          </cell>
        </row>
        <row r="148">
          <cell r="C148" t="str">
            <v>Grants and Subawards</v>
          </cell>
          <cell r="D148" t="str">
            <v>SOU</v>
          </cell>
        </row>
        <row r="149">
          <cell r="C149" t="str">
            <v>Grants and Subawards</v>
          </cell>
          <cell r="D149" t="str">
            <v>NAT</v>
          </cell>
        </row>
        <row r="150">
          <cell r="C150" t="str">
            <v>Grants and Subawards</v>
          </cell>
          <cell r="D150" t="str">
            <v>NAT</v>
          </cell>
        </row>
        <row r="151">
          <cell r="C151" t="str">
            <v>Grants and Subawards</v>
          </cell>
          <cell r="D151" t="str">
            <v>NAT</v>
          </cell>
        </row>
        <row r="152">
          <cell r="C152" t="str">
            <v>Grants and Subawards</v>
          </cell>
          <cell r="D152" t="str">
            <v>CEN</v>
          </cell>
        </row>
        <row r="153">
          <cell r="C153" t="str">
            <v>Grants and Subawards</v>
          </cell>
          <cell r="D153" t="str">
            <v>EST</v>
          </cell>
        </row>
        <row r="154">
          <cell r="C154" t="str">
            <v>Grants and Subawards</v>
          </cell>
          <cell r="D154" t="str">
            <v>SOU</v>
          </cell>
        </row>
        <row r="155">
          <cell r="C155" t="str">
            <v>Grants and Subawards</v>
          </cell>
          <cell r="D155" t="str">
            <v>COM</v>
          </cell>
        </row>
        <row r="156">
          <cell r="C156" t="str">
            <v>Grants and Subawards</v>
          </cell>
          <cell r="D156" t="str">
            <v>COM</v>
          </cell>
        </row>
        <row r="157">
          <cell r="C157" t="str">
            <v>Grants and Subawards</v>
          </cell>
          <cell r="D157" t="str">
            <v>COM</v>
          </cell>
        </row>
        <row r="158">
          <cell r="C158" t="str">
            <v>Workshops and Meetings</v>
          </cell>
          <cell r="D158" t="str">
            <v>COM</v>
          </cell>
        </row>
        <row r="159">
          <cell r="C159" t="str">
            <v>Travel</v>
          </cell>
          <cell r="D159" t="str">
            <v>COM</v>
          </cell>
        </row>
        <row r="160">
          <cell r="C160" t="str">
            <v>Workshops and Meetings</v>
          </cell>
          <cell r="D160" t="str">
            <v>COM</v>
          </cell>
        </row>
        <row r="161">
          <cell r="C161" t="str">
            <v>Technical Assistance</v>
          </cell>
          <cell r="D161" t="str">
            <v>COM</v>
          </cell>
        </row>
        <row r="162">
          <cell r="C162" t="str">
            <v>Workshops and Meetings</v>
          </cell>
          <cell r="D162" t="str">
            <v>COM</v>
          </cell>
        </row>
        <row r="163">
          <cell r="C163" t="str">
            <v>Technical Assistance</v>
          </cell>
          <cell r="D163" t="str">
            <v>COM</v>
          </cell>
        </row>
        <row r="164">
          <cell r="C164" t="str">
            <v>Publications</v>
          </cell>
          <cell r="D164" t="str">
            <v>COM</v>
          </cell>
        </row>
        <row r="165">
          <cell r="C165" t="str">
            <v>Workshops and Meetings</v>
          </cell>
          <cell r="D165" t="str">
            <v>COM</v>
          </cell>
        </row>
        <row r="166">
          <cell r="C166" t="str">
            <v>Travel</v>
          </cell>
          <cell r="D166" t="str">
            <v>COM</v>
          </cell>
        </row>
        <row r="167">
          <cell r="C167" t="str">
            <v>Technical Assistance</v>
          </cell>
          <cell r="D167" t="str">
            <v>COM</v>
          </cell>
        </row>
        <row r="168">
          <cell r="C168" t="str">
            <v>Publications</v>
          </cell>
          <cell r="D168" t="str">
            <v>COM</v>
          </cell>
        </row>
        <row r="169">
          <cell r="C169" t="str">
            <v>Publications</v>
          </cell>
          <cell r="D169" t="str">
            <v>COM</v>
          </cell>
        </row>
        <row r="170">
          <cell r="C170" t="str">
            <v>Technical Assistance</v>
          </cell>
          <cell r="D170" t="str">
            <v>COM</v>
          </cell>
        </row>
        <row r="171">
          <cell r="C171" t="str">
            <v>Technical Assistance</v>
          </cell>
          <cell r="D171" t="str">
            <v>COM</v>
          </cell>
        </row>
        <row r="172">
          <cell r="C172" t="str">
            <v>Workshops and Meetings</v>
          </cell>
          <cell r="D172" t="str">
            <v>COM</v>
          </cell>
        </row>
        <row r="173">
          <cell r="C173" t="str">
            <v>Workshops and Meetings</v>
          </cell>
          <cell r="D173" t="str">
            <v>COM</v>
          </cell>
        </row>
        <row r="174">
          <cell r="C174" t="str">
            <v>Workshops and Meetings</v>
          </cell>
          <cell r="D174" t="str">
            <v>COM</v>
          </cell>
        </row>
        <row r="175">
          <cell r="C175" t="str">
            <v>Technical Assistance</v>
          </cell>
          <cell r="D175" t="str">
            <v>COM</v>
          </cell>
        </row>
        <row r="176">
          <cell r="C176" t="str">
            <v>Publications</v>
          </cell>
          <cell r="D176" t="str">
            <v>COM</v>
          </cell>
        </row>
        <row r="177">
          <cell r="C177" t="str">
            <v>Travel</v>
          </cell>
          <cell r="D177" t="str">
            <v>COM</v>
          </cell>
        </row>
        <row r="178">
          <cell r="C178" t="str">
            <v>Technical Assistance</v>
          </cell>
          <cell r="D178" t="str">
            <v>COM</v>
          </cell>
        </row>
        <row r="179">
          <cell r="C179" t="str">
            <v>Grants and Subawards</v>
          </cell>
          <cell r="D179" t="str">
            <v>COM</v>
          </cell>
        </row>
        <row r="180">
          <cell r="C180" t="str">
            <v>Technical Assistance</v>
          </cell>
          <cell r="D180" t="str">
            <v>COM</v>
          </cell>
        </row>
        <row r="181">
          <cell r="C181" t="str">
            <v>Grants and Subawards</v>
          </cell>
          <cell r="D181" t="str">
            <v>MAE</v>
          </cell>
        </row>
        <row r="182">
          <cell r="C182" t="str">
            <v>Technical Assistance</v>
          </cell>
          <cell r="D182" t="str">
            <v>MAE</v>
          </cell>
        </row>
        <row r="183">
          <cell r="C183" t="str">
            <v>Workshops and Meetings</v>
          </cell>
          <cell r="D183" t="str">
            <v>MAE</v>
          </cell>
        </row>
        <row r="184">
          <cell r="C184" t="str">
            <v>Workshops and Meetings</v>
          </cell>
          <cell r="D184" t="str">
            <v>MAE</v>
          </cell>
        </row>
        <row r="185">
          <cell r="C185" t="str">
            <v>Technical Assistance</v>
          </cell>
          <cell r="D185" t="str">
            <v>MAE</v>
          </cell>
        </row>
        <row r="186">
          <cell r="C186" t="str">
            <v>Workshops and Meetings</v>
          </cell>
          <cell r="D186" t="str">
            <v>MAE</v>
          </cell>
        </row>
        <row r="187">
          <cell r="C187" t="str">
            <v>Grants and Subawards</v>
          </cell>
          <cell r="D187" t="str">
            <v>MAE</v>
          </cell>
        </row>
        <row r="188">
          <cell r="C188" t="str">
            <v>Technical Assistance</v>
          </cell>
          <cell r="D188" t="str">
            <v>MAE</v>
          </cell>
        </row>
        <row r="189">
          <cell r="C189" t="str">
            <v>Workshops and Meetings</v>
          </cell>
          <cell r="D189" t="str">
            <v>MAE</v>
          </cell>
        </row>
        <row r="190">
          <cell r="C190" t="str">
            <v>Technical Assistance</v>
          </cell>
          <cell r="D190" t="str">
            <v>MAE</v>
          </cell>
        </row>
        <row r="191">
          <cell r="C191" t="str">
            <v>Grants and Subawards</v>
          </cell>
          <cell r="D191" t="str">
            <v>MAE</v>
          </cell>
        </row>
        <row r="192">
          <cell r="C192" t="str">
            <v>Grants and Subawards</v>
          </cell>
          <cell r="D192" t="str">
            <v>MAE</v>
          </cell>
        </row>
        <row r="193">
          <cell r="C193" t="str">
            <v>Grants and Subawards</v>
          </cell>
          <cell r="D193" t="str">
            <v>MAE</v>
          </cell>
        </row>
        <row r="194">
          <cell r="C194" t="str">
            <v>Publications</v>
          </cell>
          <cell r="D194" t="str">
            <v>MAE</v>
          </cell>
        </row>
        <row r="195">
          <cell r="C195" t="str">
            <v>Travel</v>
          </cell>
          <cell r="D195" t="str">
            <v>MAE</v>
          </cell>
        </row>
        <row r="196">
          <cell r="C196" t="str">
            <v>Technical Assistance</v>
          </cell>
          <cell r="D196" t="str">
            <v>MAE</v>
          </cell>
        </row>
        <row r="197">
          <cell r="C197" t="str">
            <v>Technical Assistance</v>
          </cell>
          <cell r="D197" t="str">
            <v>MAE</v>
          </cell>
        </row>
        <row r="198">
          <cell r="C198" t="str">
            <v>Workshops and Meetings</v>
          </cell>
          <cell r="D198" t="str">
            <v>MAE</v>
          </cell>
        </row>
        <row r="199">
          <cell r="C199" t="str">
            <v>Workshops and Meetings</v>
          </cell>
          <cell r="D199" t="str">
            <v>MAE</v>
          </cell>
        </row>
        <row r="200">
          <cell r="C200" t="str">
            <v>Travel</v>
          </cell>
          <cell r="D200" t="str">
            <v>MAE</v>
          </cell>
        </row>
        <row r="201">
          <cell r="C201" t="str">
            <v>Grants and Subawards</v>
          </cell>
          <cell r="D201" t="str">
            <v>MAE</v>
          </cell>
        </row>
        <row r="202">
          <cell r="C202" t="str">
            <v>Grants and Subawards</v>
          </cell>
          <cell r="D202" t="str">
            <v>PSM</v>
          </cell>
        </row>
        <row r="203">
          <cell r="C203" t="str">
            <v>Grants and Subawards</v>
          </cell>
          <cell r="D203" t="str">
            <v>PSM</v>
          </cell>
        </row>
        <row r="204">
          <cell r="C204" t="str">
            <v>Grants and Subawards</v>
          </cell>
          <cell r="D204" t="str">
            <v>PSM</v>
          </cell>
        </row>
        <row r="205">
          <cell r="C205" t="str">
            <v>Grants and Subawards</v>
          </cell>
          <cell r="D205" t="str">
            <v>PSM</v>
          </cell>
        </row>
        <row r="206">
          <cell r="C206" t="str">
            <v>Travel</v>
          </cell>
          <cell r="D206" t="str">
            <v>PSM</v>
          </cell>
        </row>
        <row r="207">
          <cell r="C207" t="str">
            <v>Grants and Subawards</v>
          </cell>
          <cell r="D207" t="str">
            <v>PSM</v>
          </cell>
        </row>
        <row r="208">
          <cell r="C208" t="str">
            <v>Grants and Subawards</v>
          </cell>
          <cell r="D208" t="str">
            <v>PSM</v>
          </cell>
        </row>
        <row r="209">
          <cell r="C209" t="str">
            <v>Grants and Subawards</v>
          </cell>
          <cell r="D209" t="str">
            <v>PSM</v>
          </cell>
        </row>
        <row r="210">
          <cell r="C210" t="str">
            <v>Grants and Subawards</v>
          </cell>
          <cell r="D210" t="str">
            <v>PSM</v>
          </cell>
        </row>
        <row r="211">
          <cell r="C211" t="str">
            <v>Grants and Subawards</v>
          </cell>
          <cell r="D211" t="str">
            <v>PSM</v>
          </cell>
        </row>
        <row r="212">
          <cell r="C212" t="str">
            <v>Grants and Subawards</v>
          </cell>
          <cell r="D212" t="str">
            <v>PSM</v>
          </cell>
        </row>
        <row r="213">
          <cell r="C213" t="str">
            <v>Grants and Subawards</v>
          </cell>
          <cell r="D213" t="str">
            <v>PSM</v>
          </cell>
        </row>
        <row r="214">
          <cell r="C214" t="str">
            <v>Procurement, Equipment and Supplies</v>
          </cell>
          <cell r="D214" t="str">
            <v>PSM</v>
          </cell>
        </row>
        <row r="215">
          <cell r="C215" t="str">
            <v>Procurement, Equipment and Supplies</v>
          </cell>
          <cell r="D215" t="str">
            <v>PSM</v>
          </cell>
        </row>
        <row r="216">
          <cell r="C216" t="str">
            <v>Procurement, Equipment and Supplies</v>
          </cell>
          <cell r="D216" t="str">
            <v>PSM</v>
          </cell>
        </row>
        <row r="217">
          <cell r="C217" t="str">
            <v>Procurement, Equipment and Supplies</v>
          </cell>
          <cell r="D217" t="str">
            <v>PSM</v>
          </cell>
        </row>
        <row r="218">
          <cell r="C218" t="str">
            <v>Procurement, Equipment and Supplies</v>
          </cell>
          <cell r="D218" t="str">
            <v>PSM</v>
          </cell>
        </row>
        <row r="219">
          <cell r="C219" t="str">
            <v>Procurement, Equipment and Supplies</v>
          </cell>
          <cell r="D219" t="str">
            <v>PSM</v>
          </cell>
        </row>
        <row r="220">
          <cell r="C220" t="str">
            <v>Procurement, Equipment and Supplies</v>
          </cell>
          <cell r="D220" t="str">
            <v>PSM</v>
          </cell>
        </row>
        <row r="221">
          <cell r="C221" t="str">
            <v>Procurement, Equipment and Supplies</v>
          </cell>
          <cell r="D221" t="str">
            <v>PSM</v>
          </cell>
        </row>
        <row r="222">
          <cell r="C222" t="str">
            <v>Grants and Subawards</v>
          </cell>
          <cell r="D222" t="str">
            <v>PSM</v>
          </cell>
        </row>
        <row r="223">
          <cell r="C223" t="str">
            <v>Technical Assistance</v>
          </cell>
          <cell r="D223" t="str">
            <v>PSM</v>
          </cell>
        </row>
        <row r="224">
          <cell r="C224" t="str">
            <v>Technical Assistance</v>
          </cell>
          <cell r="D224" t="str">
            <v>PSM</v>
          </cell>
        </row>
        <row r="225">
          <cell r="C225" t="str">
            <v>Travel</v>
          </cell>
          <cell r="D225" t="str">
            <v>PSM</v>
          </cell>
        </row>
      </sheetData>
      <sheetData sheetId="4" refreshError="1"/>
      <sheetData sheetId="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 Y3 by Quart.Categorized"/>
      <sheetName val="GF Budget Y3 by Quarters"/>
      <sheetName val="Sheet1"/>
      <sheetName val="TPSM WP Year 3"/>
      <sheetName val="TPSM WP Year 4"/>
      <sheetName val="TPSM WP Year 5"/>
      <sheetName val="CBSI Y3"/>
      <sheetName val="CBSI WP Year 4"/>
      <sheetName val="CBSI WP Year 5"/>
      <sheetName val=" IEA WP Year 3"/>
      <sheetName val="IEA WP Year 4"/>
      <sheetName val="IEA WP Year 5"/>
      <sheetName val="M &amp; E Y3 - revised"/>
      <sheetName val="M &amp; E Y4 - revised"/>
      <sheetName val="M &amp; E Y5 - revised"/>
      <sheetName val="New Cost Categories"/>
      <sheetName val="Drug needs &amp; prices assumptions"/>
    </sheetNames>
    <sheetDataSet>
      <sheetData sheetId="0"/>
      <sheetData sheetId="1"/>
      <sheetData sheetId="2"/>
      <sheetData sheetId="3"/>
      <sheetData sheetId="4" refreshError="1">
        <row r="5">
          <cell r="Q5">
            <v>8674910.7441286892</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ategory"/>
      <sheetName val="Workplan with timelines"/>
      <sheetName val="Workplan with budget"/>
      <sheetName val="Budget Assumptions"/>
      <sheetName val="Staff List"/>
      <sheetName val="Budget split"/>
      <sheetName val="OB2"/>
      <sheetName val="OB5"/>
      <sheetName val="Worksheet 1 Project budget"/>
    </sheetNames>
    <sheetDataSet>
      <sheetData sheetId="0">
        <row r="2">
          <cell r="E2" t="str">
            <v>ADM</v>
          </cell>
        </row>
        <row r="3">
          <cell r="C3" t="str">
            <v>SAL</v>
          </cell>
        </row>
        <row r="5">
          <cell r="C5" t="str">
            <v>TRA</v>
          </cell>
        </row>
        <row r="6">
          <cell r="C6" t="str">
            <v>EQU</v>
          </cell>
        </row>
        <row r="7">
          <cell r="C7" t="str">
            <v>PRO</v>
          </cell>
        </row>
        <row r="9">
          <cell r="C9" t="str">
            <v>SR</v>
          </cell>
        </row>
        <row r="10">
          <cell r="C10" t="str">
            <v>GRA</v>
          </cell>
        </row>
        <row r="11">
          <cell r="C11" t="str">
            <v>TAS</v>
          </cell>
        </row>
        <row r="13">
          <cell r="C13" t="str">
            <v>OFF</v>
          </cell>
        </row>
        <row r="14">
          <cell r="C14" t="str">
            <v>WOR</v>
          </cell>
        </row>
        <row r="15">
          <cell r="C15" t="str">
            <v>PUB</v>
          </cell>
        </row>
      </sheetData>
      <sheetData sheetId="1">
        <row r="2">
          <cell r="E2" t="str">
            <v>ADM</v>
          </cell>
        </row>
      </sheetData>
      <sheetData sheetId="2">
        <row r="2">
          <cell r="E2" t="str">
            <v>ADM</v>
          </cell>
        </row>
      </sheetData>
      <sheetData sheetId="3">
        <row r="2">
          <cell r="E2" t="str">
            <v>ADM</v>
          </cell>
        </row>
      </sheetData>
      <sheetData sheetId="4">
        <row r="2">
          <cell r="E2" t="str">
            <v>ADM</v>
          </cell>
        </row>
      </sheetData>
      <sheetData sheetId="5"/>
      <sheetData sheetId="6" refreshError="1"/>
      <sheetData sheetId="7" refreshError="1"/>
      <sheetData sheetId="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1 Summary"/>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justifications"/>
      <sheetName val="Budget Summary"/>
      <sheetName val="Workplan with timelines"/>
      <sheetName val="Detailed budget "/>
      <sheetName val="Bdg Justification_Program"/>
      <sheetName val="Admin costs"/>
      <sheetName val="Staff costs"/>
      <sheetName val="cost category"/>
      <sheetName val="Rd10 Ph2 Researches BAs"/>
    </sheetNames>
    <sheetDataSet>
      <sheetData sheetId="0"/>
      <sheetData sheetId="1"/>
      <sheetData sheetId="2"/>
      <sheetData sheetId="3"/>
      <sheetData sheetId="4"/>
      <sheetData sheetId="5"/>
      <sheetData sheetId="6"/>
      <sheetData sheetId="7">
        <row r="2">
          <cell r="E2" t="str">
            <v>ADM</v>
          </cell>
        </row>
      </sheetData>
      <sheetData sheetId="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orkplan and Budget 3 years"/>
      <sheetName val="Workplan and budget per quarter"/>
      <sheetName val="BA_ME"/>
      <sheetName val="BA_TA"/>
      <sheetName val="BA_Procurement"/>
      <sheetName val="BA_Grants"/>
      <sheetName val="BA_Other"/>
      <sheetName val="BA_Admin"/>
      <sheetName val="Changes"/>
    </sheetNames>
    <sheetDataSet>
      <sheetData sheetId="0" refreshError="1"/>
      <sheetData sheetId="1">
        <row r="1">
          <cell r="K1">
            <v>0.13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Budget Summary (PR)"/>
      <sheetName val="Budget Summary (SR)"/>
      <sheetName val="OB1"/>
      <sheetName val="OB2"/>
      <sheetName val="OB4"/>
      <sheetName val="OB5"/>
      <sheetName val="PR Unit costs for budget"/>
      <sheetName val="BA-OB1"/>
      <sheetName val="BA-OB2"/>
      <sheetName val="BA-OB4"/>
      <sheetName val="BA-OB5"/>
      <sheetName val="PR unit general assumptions"/>
      <sheetName val="Phase 2 Budget by OB, SDA, AA"/>
      <sheetName val="EXR trend"/>
      <sheetName val="data"/>
    </sheetNames>
    <sheetDataSet>
      <sheetData sheetId="0" refreshError="1"/>
      <sheetData sheetId="1" refreshError="1"/>
      <sheetData sheetId="2" refreshError="1"/>
      <sheetData sheetId="3" refreshError="1"/>
      <sheetData sheetId="4">
        <row r="5">
          <cell r="J5" t="str">
            <v>Service Delivery Areas (SDAs)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iance 2007"/>
      <sheetName val="Alliance 2006 revised"/>
      <sheetName val="Alliance"/>
      <sheetName val="GlobalFund"/>
      <sheetName val="Sunrise"/>
      <sheetName val="TPSM"/>
      <sheetName val="FPD"/>
      <sheetName val="Nat'l"/>
      <sheetName val="Center"/>
      <sheetName val="South"/>
      <sheetName val="East"/>
      <sheetName val="M&amp;E"/>
      <sheetName val="Comms"/>
      <sheetName val="HR&amp;Admin"/>
      <sheetName val="IT"/>
      <sheetName val="Finance"/>
      <sheetName val="ED"/>
      <sheetName val="Donor codes"/>
      <sheetName val="Drug needs &amp; prices assumptions"/>
      <sheetName val="TPSM WP Year 4"/>
    </sheetNames>
    <sheetDataSet>
      <sheetData sheetId="0">
        <row r="9">
          <cell r="B9">
            <v>5.0449999999999999</v>
          </cell>
        </row>
      </sheetData>
      <sheetData sheetId="1">
        <row r="9">
          <cell r="B9">
            <v>5.0449999999999999</v>
          </cell>
        </row>
      </sheetData>
      <sheetData sheetId="2">
        <row r="9">
          <cell r="B9">
            <v>5.0449999999999999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а сторінка"/>
      <sheetName val="Інструкції до заповнення"/>
      <sheetName val="Детальний бюджет"/>
      <sheetName val="Зведений бюджет"/>
      <sheetName val="Вид діяльності"/>
      <sheetName val="Категорії витрат"/>
      <sheetName val="QR-5 (Youth Projects)"/>
    </sheetNames>
    <sheetDataSet>
      <sheetData sheetId="0" refreshError="1"/>
      <sheetData sheetId="1" refreshError="1"/>
      <sheetData sheetId="2" refreshError="1"/>
      <sheetData sheetId="3" refreshError="1"/>
      <sheetData sheetId="4" refreshError="1"/>
      <sheetData sheetId="5">
        <row r="2">
          <cell r="B2" t="str">
            <v>Оплата праці</v>
          </cell>
        </row>
        <row r="3">
          <cell r="B3" t="str">
            <v>Технічна допомога</v>
          </cell>
        </row>
        <row r="4">
          <cell r="B4" t="str">
            <v>Тренінги</v>
          </cell>
        </row>
        <row r="5">
          <cell r="B5" t="str">
            <v>Товари та обладнання для сфери охорони здоров'я</v>
          </cell>
        </row>
        <row r="6">
          <cell r="B6" t="str">
            <v>Медикаменти та фармацевтична продукція</v>
          </cell>
        </row>
        <row r="7">
          <cell r="B7" t="str">
            <v>Витрати на забезпечення закупівель та поставок</v>
          </cell>
        </row>
        <row r="8">
          <cell r="B8" t="str">
            <v>Інфраструктура та обладнання</v>
          </cell>
        </row>
        <row r="9">
          <cell r="B9" t="str">
            <v>Видавничі та комунікаційні витрати</v>
          </cell>
        </row>
        <row r="10">
          <cell r="B10" t="str">
            <v>Моніторинг та оцінка</v>
          </cell>
        </row>
        <row r="11">
          <cell r="B11" t="str">
            <v>Товари для підтримки життєдіяльності клієнтів/цільової групи</v>
          </cell>
        </row>
        <row r="12">
          <cell r="B12" t="str">
            <v>Витрати на планування та адміністрування</v>
          </cell>
        </row>
        <row r="13">
          <cell r="B13" t="str">
            <v>Витрати на підтримку діяльності організації</v>
          </cell>
        </row>
        <row r="14">
          <cell r="B14" t="str">
            <v>Діяльність суб-реципієнтів</v>
          </cell>
        </row>
      </sheetData>
      <sheetData sheetId="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а"/>
      <sheetName val="Таблиця витрат"/>
      <sheetName val="Транши"/>
      <sheetName val="Список операцій"/>
      <sheetName val="Інвентарний лист"/>
      <sheetName val="Контрагенти"/>
      <sheetName val="Категорії витрат"/>
      <sheetName val="Вид діяльності"/>
      <sheetName val="TPSM WP Year 4"/>
    </sheetNames>
    <sheetDataSet>
      <sheetData sheetId="0"/>
      <sheetData sheetId="1">
        <row r="6">
          <cell r="B6" t="str">
            <v>Координатор проекту (70%) - Селіщева І.І.</v>
          </cell>
        </row>
        <row r="7">
          <cell r="B7" t="str">
            <v>Соціальний працівник (70%) - Трошина О.Ф.</v>
          </cell>
        </row>
        <row r="8">
          <cell r="B8" t="str">
            <v>Психолог (70%) - Нестеренко Н.О.</v>
          </cell>
        </row>
        <row r="9">
          <cell r="B9" t="str">
            <v>нарахування на з/п 35,4%</v>
          </cell>
        </row>
        <row r="10">
          <cell r="B10" t="str">
            <v>Гонорар тренера по проведенню тренінга для працівників дитячих садків та шкіл по підвищенню обізнанності з питань ВІЛ/СНІД для 20 осіб</v>
          </cell>
        </row>
        <row r="11">
          <cell r="B11" t="str">
            <v>нарахування на з/п 35,4%</v>
          </cell>
        </row>
        <row r="12">
          <cell r="B12" t="str">
            <v>"Школа батьківства" канц товари; кава-паузи; для 25 осіб</v>
          </cell>
        </row>
        <row r="13">
          <cell r="B13" t="str">
            <v>Тренінг для працівників дитячих садків та шкіл по підвищенню обізнанності з питань ВІЛ/СНІД для 20 осіб ( канцелярські товари 20 осіб по 20 грн, кофе пауза 20 осіб по 20 грн, витрати на обіди 20 осіб по 50 грн)</v>
          </cell>
        </row>
        <row r="14">
          <cell r="B14" t="str">
            <v>Органiзація дiяльностi дитячого клубу, для  пiдтримки ВІЛ-позитивних дітей після розкриття ВІЛ-статусу.(АРТ-терапiя: гіпс, фарби, папір, олівці, пластилін, кольоровий папір, бісер, набір для вишивання, ляльковий театр, фломастери, папір А-1, акриловi фарб</v>
          </cell>
        </row>
        <row r="15">
          <cell r="B15" t="str">
            <v>Проведення занять з арт-терапії 2 рази на місяць (гіпс, фарби, папір, олівці, пластилін, кольоровий папір, бісер, набір для вишивання, ляльковий театр)</v>
          </cell>
        </row>
        <row r="16">
          <cell r="B16" t="str">
            <v>Діяльність груп самодопомоги</v>
          </cell>
        </row>
        <row r="17">
          <cell r="B17" t="str">
            <v>Висококалорійне дитяче харчування, молочні суміші, каші (25 дітей*11банок*54грн)</v>
          </cell>
        </row>
        <row r="18">
          <cell r="B18" t="str">
            <v>канцтовари</v>
          </cell>
        </row>
        <row r="19">
          <cell r="B19" t="str">
            <v>банківські витрати</v>
          </cell>
        </row>
        <row r="20">
          <cell r="B20" t="str">
            <v>бухгалтер (20%) Сидорова О.Є.</v>
          </cell>
        </row>
        <row r="21">
          <cell r="B21" t="str">
            <v>нарахування на з/п  бухгалтера 34.8%</v>
          </cell>
        </row>
        <row r="22">
          <cell r="B22" t="str">
            <v>поштові витрати</v>
          </cell>
        </row>
        <row r="23">
          <cell r="B23" t="str">
            <v>офісні витрати (чай, кава, одноразовий посуд, солодке, госптовари)</v>
          </cell>
        </row>
      </sheetData>
      <sheetData sheetId="2"/>
      <sheetData sheetId="3"/>
      <sheetData sheetId="4"/>
      <sheetData sheetId="5"/>
      <sheetData sheetId="6"/>
      <sheetData sheetId="7"/>
      <sheetData sheetId="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тегорія витрат"/>
      <sheetName val="Сводная для напрямків конкурсу"/>
      <sheetName val="Напрямки конкурса"/>
      <sheetName val="Інструкція"/>
      <sheetName val="Зайнятість"/>
      <sheetName val="Адмінвидатки"/>
      <sheetName val="Персонал проекту"/>
      <sheetName val="Сводная для рабочего плана"/>
      <sheetName val="Додаток 3.0 Напрямки орг-ції"/>
      <sheetName val="Додаток 3.0 Бюджет загальний "/>
      <sheetName val="01 2014"/>
      <sheetName val="02 2014"/>
      <sheetName val="03 2014"/>
      <sheetName val="02-03 2014"/>
      <sheetName val="01-03 2014"/>
      <sheetName val="04-06 2014"/>
      <sheetName val="Лист4"/>
      <sheetName val="Лист3"/>
      <sheetName val="Лист1"/>
      <sheetName val="Додаток 3._Бюджет детальний"/>
      <sheetName val="Додаток 3.3 Прогноз проплат "/>
      <sheetName val="Додаток 3.4. Робочий план"/>
      <sheetName val="Додаток 3.5. Прогноз ТМЦ"/>
    </sheetNames>
    <sheetDataSet>
      <sheetData sheetId="0">
        <row r="2">
          <cell r="A2" t="str">
            <v>01.Людські ресурси</v>
          </cell>
        </row>
        <row r="3">
          <cell r="A3" t="str">
            <v>02.Технічна допомога</v>
          </cell>
          <cell r="D3" t="str">
            <v>1.ШТАТ</v>
          </cell>
        </row>
        <row r="4">
          <cell r="A4" t="str">
            <v>03.Тренінги</v>
          </cell>
          <cell r="D4" t="str">
            <v>2.1.ЦПХ(РГ)</v>
          </cell>
        </row>
        <row r="5">
          <cell r="A5" t="str">
            <v>04.Товари та обладнання для сфери охорони здоров'я</v>
          </cell>
          <cell r="D5" t="str">
            <v>2.2.ЦПХ (ОР)</v>
          </cell>
        </row>
        <row r="6">
          <cell r="A6" t="str">
            <v>05.Медикаменти та фармацевтична продукція</v>
          </cell>
          <cell r="D6" t="str">
            <v>2.3.СПД</v>
          </cell>
        </row>
        <row r="7">
          <cell r="A7" t="str">
            <v>06.Витрати на забезпечення закупівель та поставок</v>
          </cell>
        </row>
        <row r="8">
          <cell r="A8" t="str">
            <v>07.Інфраструктура та інше обладнання</v>
          </cell>
        </row>
        <row r="9">
          <cell r="A9" t="str">
            <v>08.Видавничі та комунікаційні витрати</v>
          </cell>
        </row>
        <row r="10">
          <cell r="A10" t="str">
            <v>09.Моніторинг та оцінка</v>
          </cell>
        </row>
        <row r="11">
          <cell r="A11" t="str">
            <v>10.Допомога в життєзабезпеченні клієнтів/цільових груп населення</v>
          </cell>
        </row>
        <row r="12">
          <cell r="A12" t="str">
            <v>11.Планування та адміністрування</v>
          </cell>
        </row>
        <row r="13">
          <cell r="A13" t="str">
            <v>12.Витрати на утримання офісу</v>
          </cell>
        </row>
        <row r="14">
          <cell r="A14" t="str">
            <v>13.Не потребують фінансування</v>
          </cell>
        </row>
      </sheetData>
      <sheetData sheetId="1" refreshError="1"/>
      <sheetData sheetId="2" refreshError="1"/>
      <sheetData sheetId="3" refreshError="1"/>
      <sheetData sheetId="4"/>
      <sheetData sheetId="5" refreshError="1"/>
      <sheetData sheetId="6" refreshError="1"/>
      <sheetData sheetId="7" refreshError="1"/>
      <sheetData sheetId="8">
        <row r="5">
          <cell r="A5" t="str">
            <v>01.01_СІН Профілактика</v>
          </cell>
        </row>
        <row r="6">
          <cell r="A6" t="str">
            <v>02.01_ОСБ - профілактика</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тегорія витрат"/>
      <sheetName val="Лист11"/>
      <sheetName val="Дані про організацію"/>
      <sheetName val="Напрямки конкурса"/>
      <sheetName val="Додаток 3.0 Напрямки орг-ції"/>
      <sheetName val="К Q1"/>
      <sheetName val="К Q2"/>
      <sheetName val="К Q3"/>
      <sheetName val="К Q4"/>
      <sheetName val="К Q5"/>
      <sheetName val="К Q6"/>
      <sheetName val="К Q7"/>
      <sheetName val="К Q8"/>
      <sheetName val="B Q1"/>
      <sheetName val="B Q2"/>
      <sheetName val="B Q3"/>
      <sheetName val="B Q4"/>
      <sheetName val="B Q5"/>
      <sheetName val="B Q6"/>
      <sheetName val="B Q7"/>
      <sheetName val="B Q8"/>
      <sheetName val="Додаток 3.1 Бюджет загальний "/>
      <sheetName val="Додаток 3.1.1 Бюджет 2012 "/>
      <sheetName val="Додаток 3.1.2 Бюджет 2013 "/>
      <sheetName val="Раунд 6 и Раунд 10"/>
      <sheetName val="R10"/>
      <sheetName val="2013"/>
      <sheetName val="2012"/>
      <sheetName val="Бюджет 24"/>
      <sheetName val="Бюджет "/>
      <sheetName val="Деньги"/>
      <sheetName val="%"/>
      <sheetName val="Количество"/>
      <sheetName val="Додаток 3.2 РП_Бюджет детальний"/>
      <sheetName val="Додаток 3.3. Прогноз ТМЦ"/>
      <sheetName val="Додаток 3.4. Робочий план"/>
      <sheetName val="Категорії витрат"/>
    </sheetNames>
    <sheetDataSet>
      <sheetData sheetId="0">
        <row r="2">
          <cell r="A2" t="str">
            <v>01.Оплата праці</v>
          </cell>
        </row>
        <row r="3">
          <cell r="A3" t="str">
            <v>02.Технічна допомога</v>
          </cell>
        </row>
        <row r="4">
          <cell r="A4" t="str">
            <v>03.Тренінги</v>
          </cell>
        </row>
        <row r="5">
          <cell r="A5" t="str">
            <v>04.Товари та обладнання для сфери охорони здоров'я</v>
          </cell>
        </row>
        <row r="6">
          <cell r="A6" t="str">
            <v>05.Медикаменти та фармацевтична продукція</v>
          </cell>
        </row>
        <row r="7">
          <cell r="A7" t="str">
            <v>06.Витрати на забезпечення закупівель та поставок</v>
          </cell>
        </row>
        <row r="8">
          <cell r="A8" t="str">
            <v>07.Інфраструктура та інше обладнання</v>
          </cell>
        </row>
        <row r="9">
          <cell r="A9" t="str">
            <v>08.Видавничі та комунікаційні витрати</v>
          </cell>
        </row>
        <row r="10">
          <cell r="A10" t="str">
            <v>09.Моніторинг та оцінка</v>
          </cell>
        </row>
        <row r="11">
          <cell r="A11" t="str">
            <v>10.Допомога в життєзабезпеченні клієнтів/цільових груп населення</v>
          </cell>
        </row>
        <row r="12">
          <cell r="A12" t="str">
            <v>11.Планування та адміністрування</v>
          </cell>
        </row>
        <row r="13">
          <cell r="A13" t="str">
            <v>12.Витрати на утримання офісу</v>
          </cell>
        </row>
        <row r="14">
          <cell r="A14" t="str">
            <v>13.Не потребують фінансування</v>
          </cell>
        </row>
      </sheetData>
      <sheetData sheetId="1"/>
      <sheetData sheetId="2"/>
      <sheetData sheetId="3">
        <row r="4">
          <cell r="A4" t="str">
            <v>01. Надання медико-соціальних послуг представникам груп ризику в зв'язку з ВІЛ-позитивним статусом за принципами кейс-менеджменту</v>
          </cell>
        </row>
      </sheetData>
      <sheetData sheetId="4">
        <row r="4">
          <cell r="A4" t="str">
            <v>01. Надання медико-соціальних послуг представникам груп ризику в зв'язку з ВІЛ-позитивним статусом за принципами кейс-менеджменту</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а сторінка"/>
      <sheetName val="описание звед бюджет"/>
      <sheetName val="Зведений бюджет"/>
      <sheetName val="Лист1"/>
      <sheetName val="Детальний бюджет"/>
      <sheetName val="Вид діяльності"/>
      <sheetName val="Категорії витрат"/>
      <sheetName val="Sheet1"/>
      <sheetName val="Sheet2"/>
    </sheetNames>
    <sheetDataSet>
      <sheetData sheetId="0"/>
      <sheetData sheetId="1"/>
      <sheetData sheetId="2"/>
      <sheetData sheetId="3"/>
      <sheetData sheetId="4"/>
      <sheetData sheetId="5"/>
      <sheetData sheetId="6">
        <row r="2">
          <cell r="B2" t="str">
            <v>Оплата праці</v>
          </cell>
        </row>
        <row r="3">
          <cell r="B3" t="str">
            <v>Технічна допомога</v>
          </cell>
        </row>
        <row r="4">
          <cell r="B4" t="str">
            <v>Тренінги</v>
          </cell>
        </row>
        <row r="5">
          <cell r="B5" t="str">
            <v>Товари та обладнання для сфери охорони здоров'я</v>
          </cell>
        </row>
        <row r="6">
          <cell r="B6" t="str">
            <v>Медикаменти та фармацевтична продукція</v>
          </cell>
        </row>
        <row r="7">
          <cell r="B7" t="str">
            <v>Витрати на забезпечення закупівель та поставок</v>
          </cell>
        </row>
        <row r="8">
          <cell r="B8" t="str">
            <v>Інфраструктура та обладнання</v>
          </cell>
        </row>
        <row r="9">
          <cell r="B9" t="str">
            <v>Видавничі та комунікаційні витрати</v>
          </cell>
        </row>
        <row r="10">
          <cell r="B10" t="str">
            <v>Моніторинг та оцінка</v>
          </cell>
        </row>
        <row r="11">
          <cell r="B11" t="str">
            <v>Товари для підтримки життєдіяльності клієнтів/цільової групи</v>
          </cell>
        </row>
        <row r="12">
          <cell r="B12" t="str">
            <v>Витрати на планування та адміністрування</v>
          </cell>
        </row>
        <row r="13">
          <cell r="B13" t="str">
            <v>Витрати на підтримку діяльності організації</v>
          </cell>
        </row>
        <row r="14">
          <cell r="B14" t="str">
            <v>Діяльність суб-реципієнтів</v>
          </cell>
        </row>
      </sheetData>
      <sheetData sheetId="7"/>
      <sheetData sheetId="8"/>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прямки конкурса"/>
      <sheetName val="Категорія витрат"/>
      <sheetName val="Лист11"/>
      <sheetName val="Дані про організацію"/>
      <sheetName val="Додаток 3.0 Напрямки орг-ції"/>
      <sheetName val="К Q1"/>
      <sheetName val="К Q2"/>
      <sheetName val="К Q3"/>
      <sheetName val="К Q4"/>
      <sheetName val="К Q5"/>
      <sheetName val="К Q6"/>
      <sheetName val="К Q7"/>
      <sheetName val="К Q8"/>
      <sheetName val="B Q1"/>
      <sheetName val="B Q2"/>
      <sheetName val="B Q3"/>
      <sheetName val="B Q4"/>
      <sheetName val="B Q5"/>
      <sheetName val="B Q6"/>
      <sheetName val="B Q7"/>
      <sheetName val="B Q8"/>
      <sheetName val="Додаток 3.1 Бюджет загальний "/>
      <sheetName val="Додаток 3.1.1 Бюджет 2012 "/>
      <sheetName val="Додаток 3.1.2 Бюджет 2013 "/>
      <sheetName val="Раунд 6 и Раунд 10"/>
      <sheetName val="R10"/>
      <sheetName val="2013"/>
      <sheetName val="2012"/>
      <sheetName val="Бюджет "/>
      <sheetName val="%"/>
      <sheetName val="Количество"/>
      <sheetName val="Додаток 3.2 РП_Бюджет детальний"/>
      <sheetName val="Додаток 3.3. Прогноз ТМЦ"/>
      <sheetName val="Додаток 3.4. Робочий план"/>
      <sheetName val="Таблиця витрат"/>
    </sheetNames>
    <sheetDataSet>
      <sheetData sheetId="0">
        <row r="2">
          <cell r="G2" t="str">
            <v>01. Надання медико-соціальних послуг представникам груп ризику з КіТ методом ІФА  на базі ЛПЗ</v>
          </cell>
        </row>
        <row r="3">
          <cell r="G3" t="str">
            <v>02. Надання медико-соціальних послуг з діагностики, лікування та профілактики ІПСШ представникам груп ризику за принципами кейс-менеджменту на базі НУО, мобільних амбулаторій та ЛПЗ</v>
          </cell>
        </row>
        <row r="4">
          <cell r="G4" t="str">
            <v>03. Надання медико-соціальних та інформаційно-просвітницьких профілактичних послуг з діагностики, лікування та профілактики ВІЛ/ІПСШ представникам груп ризику за принципами  кейс-менеджменту на базі НУО, мобільних амбулаторій та ЛПЗ</v>
          </cell>
        </row>
        <row r="5">
          <cell r="G5" t="str">
            <v>04</v>
          </cell>
        </row>
        <row r="6">
          <cell r="G6" t="str">
            <v>05</v>
          </cell>
        </row>
        <row r="7">
          <cell r="G7" t="str">
            <v>06</v>
          </cell>
        </row>
        <row r="8">
          <cell r="G8" t="str">
            <v>07</v>
          </cell>
        </row>
        <row r="9">
          <cell r="G9" t="str">
            <v>08</v>
          </cell>
        </row>
        <row r="10">
          <cell r="G10" t="str">
            <v>09</v>
          </cell>
        </row>
        <row r="11">
          <cell r="G11" t="str">
            <v>10</v>
          </cell>
        </row>
        <row r="12">
          <cell r="G12" t="str">
            <v>11</v>
          </cell>
        </row>
        <row r="13">
          <cell r="G13" t="str">
            <v>12</v>
          </cell>
        </row>
        <row r="14">
          <cell r="G14" t="str">
            <v>13</v>
          </cell>
        </row>
        <row r="15">
          <cell r="G15" t="str">
            <v>14</v>
          </cell>
        </row>
        <row r="16">
          <cell r="G16" t="str">
            <v>15</v>
          </cell>
        </row>
        <row r="17">
          <cell r="G17" t="str">
            <v>16</v>
          </cell>
        </row>
        <row r="18">
          <cell r="G18" t="str">
            <v>17</v>
          </cell>
        </row>
        <row r="19">
          <cell r="G19" t="str">
            <v>18</v>
          </cell>
        </row>
        <row r="20">
          <cell r="G20" t="str">
            <v>19</v>
          </cell>
        </row>
        <row r="21">
          <cell r="G21" t="str">
            <v>20</v>
          </cell>
        </row>
        <row r="22">
          <cell r="G22" t="str">
            <v>21</v>
          </cell>
        </row>
        <row r="23">
          <cell r="G23" t="str">
            <v>22</v>
          </cell>
        </row>
        <row r="24">
          <cell r="G24" t="str">
            <v>23</v>
          </cell>
        </row>
        <row r="25">
          <cell r="G25" t="str">
            <v>24</v>
          </cell>
        </row>
        <row r="26">
          <cell r="G26" t="str">
            <v/>
          </cell>
        </row>
      </sheetData>
      <sheetData sheetId="1">
        <row r="2">
          <cell r="G2" t="str">
            <v>01. Надання медико-соціальних послуг представникам груп ризику з КіТ методом ІФА  на базі ЛПЗ</v>
          </cell>
        </row>
      </sheetData>
      <sheetData sheetId="2">
        <row r="2">
          <cell r="G2" t="str">
            <v>01. Надання медико-соціальних послуг представникам груп ризику з КіТ методом ІФА  на базі ЛПЗ</v>
          </cell>
        </row>
      </sheetData>
      <sheetData sheetId="3">
        <row r="2">
          <cell r="G2" t="str">
            <v>01. Надання медико-соціальних послуг представникам груп ризику з КіТ методом ІФА  на базі ЛПЗ</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ведений звіт"/>
      <sheetName val="Лист1"/>
      <sheetName val="Лист4"/>
      <sheetName val="Список операцій за проектом"/>
      <sheetName val="Категорія витрат"/>
      <sheetName val="Напрямки конкурса"/>
      <sheetName val="Відносини"/>
      <sheetName val="лінії робочого плану"/>
    </sheetNames>
    <sheetDataSet>
      <sheetData sheetId="0" refreshError="1"/>
      <sheetData sheetId="1" refreshError="1"/>
      <sheetData sheetId="2" refreshError="1"/>
      <sheetData sheetId="3">
        <row r="6">
          <cell r="BV6" t="str">
            <v>01.Оплата праці</v>
          </cell>
          <cell r="CC6" t="str">
            <v>01. СІН - профілактика</v>
          </cell>
        </row>
        <row r="7">
          <cell r="CC7" t="str">
            <v>02. СІН - стимулятори</v>
          </cell>
        </row>
        <row r="8">
          <cell r="CC8" t="str">
            <v>06. ОСБ - профілактика</v>
          </cell>
        </row>
        <row r="10">
          <cell r="CC10">
            <v>0</v>
          </cell>
        </row>
        <row r="11">
          <cell r="CC11">
            <v>0</v>
          </cell>
        </row>
        <row r="12">
          <cell r="CC12">
            <v>0</v>
          </cell>
        </row>
        <row r="13">
          <cell r="CC13">
            <v>0</v>
          </cell>
        </row>
        <row r="14">
          <cell r="CC14">
            <v>0</v>
          </cell>
        </row>
        <row r="15">
          <cell r="CC15">
            <v>0</v>
          </cell>
        </row>
        <row r="16">
          <cell r="CC16">
            <v>0</v>
          </cell>
        </row>
        <row r="17">
          <cell r="CC17">
            <v>0</v>
          </cell>
        </row>
      </sheetData>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Заглавный лист"/>
      <sheetName val="Общие указания"/>
      <sheetName val="Общие допущения"/>
      <sheetName val="Детальные допущения"/>
      <sheetName val="Детальный бюджет на 1-й год"/>
      <sheetName val="Детальный бюджет на 2-й год"/>
      <sheetName val="Детальный бюджет на 3,4,5-й год"/>
      <sheetName val="Бюджет на 5 лет"/>
      <sheetName val="Краткий бюджет"/>
    </sheetNames>
    <sheetDataSet>
      <sheetData sheetId="0">
        <row r="3">
          <cell r="F3" t="str">
            <v>Кадровые ресурсы</v>
          </cell>
        </row>
        <row r="4">
          <cell r="F4" t="str">
            <v>Техническая и административная помощь</v>
          </cell>
        </row>
        <row r="5">
          <cell r="F5" t="str">
            <v>Обучение</v>
          </cell>
        </row>
        <row r="6">
          <cell r="F6" t="str">
            <v>Товары медицинского назначения и медицинское оборудование</v>
          </cell>
        </row>
        <row r="7">
          <cell r="F7" t="str">
            <v>Лекарственные препараты (медикаменты)</v>
          </cell>
        </row>
        <row r="8">
          <cell r="F8" t="str">
            <v xml:space="preserve">Расходы на управление закупками и снабжением </v>
          </cell>
        </row>
        <row r="9">
          <cell r="F9" t="str">
            <v>Инфраструктура и другое оборудование</v>
          </cell>
        </row>
        <row r="10">
          <cell r="F10" t="str">
            <v>Информационные материалы</v>
          </cell>
        </row>
        <row r="11">
          <cell r="F11" t="str">
            <v>Мониторинг и оценка</v>
          </cell>
        </row>
        <row r="12">
          <cell r="F12" t="str">
            <v>Поддержка жизни клиентов/целевых групп населения</v>
          </cell>
        </row>
        <row r="13">
          <cell r="F13" t="str">
            <v>Планирование и администрирование</v>
          </cell>
        </row>
        <row r="14">
          <cell r="F14" t="str">
            <v>Накладные расходы</v>
          </cell>
        </row>
        <row r="15">
          <cell r="F15" t="str">
            <v>Прочие</v>
          </cell>
        </row>
      </sheetData>
      <sheetData sheetId="1"/>
      <sheetData sheetId="2"/>
      <sheetData sheetId="3"/>
      <sheetData sheetId="4"/>
      <sheetData sheetId="5"/>
      <sheetData sheetId="6"/>
      <sheetData sheetId="7"/>
      <sheetData sheetId="8"/>
      <sheetData sheetId="9"/>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тегорія витрат"/>
      <sheetName val="Напрямки конкурса"/>
      <sheetName val="Зайнятість"/>
      <sheetName val="Персонал проекту"/>
      <sheetName val="SR"/>
      <sheetName val="UC1"/>
      <sheetName val="UC2"/>
      <sheetName val="Додаток 3._Бюджет детальний"/>
      <sheetName val="maping"/>
    </sheetNames>
    <sheetDataSet>
      <sheetData sheetId="0">
        <row r="2">
          <cell r="A2" t="str">
            <v>01.Людські ресурси</v>
          </cell>
        </row>
      </sheetData>
      <sheetData sheetId="1">
        <row r="2">
          <cell r="G2" t="str">
            <v>01.01_СІН Профілактика</v>
          </cell>
        </row>
        <row r="3">
          <cell r="G3" t="str">
            <v>01.02_СІН Профілактика (стимулятори)</v>
          </cell>
        </row>
        <row r="4">
          <cell r="G4" t="str">
            <v>01.03_СІН профілактика (жінки)</v>
          </cell>
        </row>
        <row r="5">
          <cell r="G5" t="str">
            <v>01.04_СІН профілактика (ГЦ)</v>
          </cell>
        </row>
        <row r="6">
          <cell r="G6" t="str">
            <v>01.05_Кейс-менеджмент</v>
          </cell>
        </row>
        <row r="7">
          <cell r="G7" t="str">
            <v>01.06_КВІ</v>
          </cell>
        </row>
        <row r="8">
          <cell r="G8" t="str">
            <v>01.07_Он-лайн аутрич</v>
          </cell>
        </row>
        <row r="9">
          <cell r="G9" t="str">
            <v>01.08_Профілактика інфікування ВІЛ/ІПСШ у ТБ закладах</v>
          </cell>
        </row>
        <row r="10">
          <cell r="G10" t="str">
            <v>01.09_Раннє виявлення ТБ серед СІН та партнерів СІН</v>
          </cell>
        </row>
        <row r="11">
          <cell r="G11" t="str">
            <v>02.01_ОСБ - профілактика</v>
          </cell>
        </row>
        <row r="12">
          <cell r="G12" t="str">
            <v>02.02_ОСБ ГЦ</v>
          </cell>
        </row>
        <row r="13">
          <cell r="G13" t="str">
            <v>02.03_Раннє виявлення ТБ серед ОСБ</v>
          </cell>
        </row>
        <row r="14">
          <cell r="G14" t="str">
            <v>03.01_ЧСЧ Профілактика</v>
          </cell>
        </row>
        <row r="15">
          <cell r="G15" t="str">
            <v>03.02_ЧСЧ Профілактика (ГЦ)</v>
          </cell>
        </row>
        <row r="16">
          <cell r="G16" t="str">
            <v>03.03_ЧСЧ Профілактика (менторська підтримка)</v>
          </cell>
        </row>
        <row r="17">
          <cell r="G17" t="str">
            <v>03.04_Раннє виявлення ТБ серед ЧСЧ</v>
          </cell>
        </row>
        <row r="18">
          <cell r="G18" t="str">
            <v>04.01_Діти вулиці</v>
          </cell>
        </row>
        <row r="19">
          <cell r="G19" t="str">
            <v>04.02_Раннє виявлення ТБ серед Літей вулиці</v>
          </cell>
        </row>
        <row r="20">
          <cell r="G20" t="str">
            <v>05.01_СІН профілактика (аптека)</v>
          </cell>
        </row>
        <row r="21">
          <cell r="G21" t="str">
            <v>06.01_МІРЦ</v>
          </cell>
        </row>
        <row r="22">
          <cell r="G22" t="str">
            <v>06.02_МІРЦ - ціль 1 - тренінги для ОСБ</v>
          </cell>
        </row>
        <row r="23">
          <cell r="G23" t="str">
            <v>06.03_МІРЦ для НУО та СІН</v>
          </cell>
        </row>
        <row r="24">
          <cell r="G24" t="str">
            <v>07.01_ІОМ НАЦ</v>
          </cell>
        </row>
        <row r="25">
          <cell r="G25" t="str">
            <v>08.01_Мобільна амбулаторія</v>
          </cell>
        </row>
      </sheetData>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sheetName val="2. Sources of Funding"/>
      <sheetName val="Work plan&amp;Budget"/>
      <sheetName val="BJ"/>
      <sheetName val="Salaries"/>
      <sheetName val="Local office"/>
    </sheetNames>
    <sheetDataSet>
      <sheetData sheetId="0">
        <row r="5">
          <cell r="A5" t="str">
            <v>1. Human Resources</v>
          </cell>
        </row>
        <row r="6">
          <cell r="A6" t="str">
            <v>1.1 Salaries (gross salaries including social security charges and other related costs, local staff)4</v>
          </cell>
        </row>
        <row r="7">
          <cell r="A7" t="str">
            <v xml:space="preserve">   1.1.1 Technical</v>
          </cell>
        </row>
        <row r="8">
          <cell r="A8" t="str">
            <v xml:space="preserve">   1.1.2 Administrative/ support staff</v>
          </cell>
        </row>
        <row r="9">
          <cell r="A9" t="str">
            <v>1.2 Salaries (gross salaries including social securitycharges and other related costs, expat/int. staff)</v>
          </cell>
        </row>
        <row r="10">
          <cell r="A10" t="str">
            <v>1.3 Per diems for missions/travel5</v>
          </cell>
        </row>
        <row r="11">
          <cell r="A11" t="str">
            <v xml:space="preserve">   1.3.1 Abroad (staff assigned to the Action)</v>
          </cell>
        </row>
        <row r="12">
          <cell r="A12" t="str">
            <v xml:space="preserve">   1.3.2 Local (staff assigned to the Action)</v>
          </cell>
        </row>
        <row r="13">
          <cell r="A13" t="str">
            <v xml:space="preserve">   1.3.3 Seminar/conference participants</v>
          </cell>
        </row>
        <row r="14">
          <cell r="A14" t="str">
            <v>Subtotal Human Resources</v>
          </cell>
        </row>
        <row r="15">
          <cell r="A15">
            <v>0</v>
          </cell>
        </row>
        <row r="16">
          <cell r="A16" t="str">
            <v>2. Travel6</v>
          </cell>
        </row>
        <row r="17">
          <cell r="A17" t="str">
            <v>2.1. International travel</v>
          </cell>
        </row>
        <row r="18">
          <cell r="A18" t="str">
            <v xml:space="preserve">2.2 Local transportation </v>
          </cell>
        </row>
        <row r="19">
          <cell r="A19" t="str">
            <v>Subtotal Travel</v>
          </cell>
        </row>
        <row r="20">
          <cell r="A20">
            <v>0</v>
          </cell>
        </row>
        <row r="21">
          <cell r="A21" t="str">
            <v>3. Equipment and supplies7</v>
          </cell>
        </row>
        <row r="22">
          <cell r="A22" t="str">
            <v>3.1 Purchase or rent of vehicles</v>
          </cell>
        </row>
        <row r="23">
          <cell r="A23" t="str">
            <v>3.2 Furniture, computer equipment</v>
          </cell>
        </row>
        <row r="24">
          <cell r="A24" t="str">
            <v>Printers</v>
          </cell>
        </row>
        <row r="25">
          <cell r="A25" t="str">
            <v>Workstations</v>
          </cell>
        </row>
        <row r="26">
          <cell r="A26" t="str">
            <v>Phone Sets</v>
          </cell>
        </row>
        <row r="27">
          <cell r="A27" t="str">
            <v>2 Chairs, 2 Tables, 2 Drawals, 2 Filing cabinets</v>
          </cell>
        </row>
        <row r="28">
          <cell r="A28" t="str">
            <v>3.3 Machines, tools…</v>
          </cell>
        </row>
        <row r="29">
          <cell r="A29" t="str">
            <v>3.4 Spare parts/equipment for machines, tools</v>
          </cell>
        </row>
        <row r="30">
          <cell r="A30" t="str">
            <v>3.5 Other (please specify)</v>
          </cell>
        </row>
        <row r="31">
          <cell r="A31" t="str">
            <v>Subtotal Equipment and supplies</v>
          </cell>
        </row>
        <row r="32">
          <cell r="A32">
            <v>0</v>
          </cell>
        </row>
        <row r="33">
          <cell r="A33" t="str">
            <v>4. Local office</v>
          </cell>
        </row>
        <row r="34">
          <cell r="A34" t="str">
            <v>4.1 Vehicle costs</v>
          </cell>
        </row>
        <row r="35">
          <cell r="A35" t="str">
            <v>4.2 Office rent</v>
          </cell>
        </row>
        <row r="36">
          <cell r="A36" t="str">
            <v>4.3 Consumables - office supplies</v>
          </cell>
        </row>
        <row r="37">
          <cell r="A37" t="str">
            <v>4.4 Other services (tel/fax, electricity/heating, maintenance)</v>
          </cell>
        </row>
        <row r="38">
          <cell r="A38" t="str">
            <v>Subtotal Local office</v>
          </cell>
        </row>
        <row r="39">
          <cell r="A39">
            <v>0</v>
          </cell>
        </row>
        <row r="40">
          <cell r="A40" t="str">
            <v>5. Other costs, services8</v>
          </cell>
        </row>
        <row r="41">
          <cell r="A41" t="str">
            <v>5.1 Publications9</v>
          </cell>
        </row>
        <row r="42">
          <cell r="A42" t="str">
            <v>5.2 Studies, research9</v>
          </cell>
        </row>
        <row r="43">
          <cell r="A43" t="str">
            <v>5.3 Expenditure verification</v>
          </cell>
        </row>
        <row r="44">
          <cell r="A44" t="str">
            <v>5.4 Evaluation costs</v>
          </cell>
        </row>
        <row r="45">
          <cell r="A45" t="str">
            <v>5.5 Translation, interpreters</v>
          </cell>
        </row>
        <row r="46">
          <cell r="A46" t="str">
            <v>5.6 Financial services (bank guarantee costs etc.)</v>
          </cell>
        </row>
        <row r="47">
          <cell r="A47" t="str">
            <v>5.7 Costs of conferences/seminars9</v>
          </cell>
        </row>
        <row r="48">
          <cell r="A48" t="str">
            <v>5.8. Visibility actions10</v>
          </cell>
        </row>
        <row r="49">
          <cell r="A49" t="str">
            <v>Subtotal Other costs, services</v>
          </cell>
        </row>
        <row r="50">
          <cell r="A50" t="str">
            <v>6. Other</v>
          </cell>
        </row>
        <row r="51">
          <cell r="A51" t="str">
            <v>6.1 TS assignments</v>
          </cell>
        </row>
        <row r="52">
          <cell r="A52" t="str">
            <v>6.2 Studies visits</v>
          </cell>
        </row>
        <row r="53">
          <cell r="A53" t="str">
            <v>6.3 Sub-grant</v>
          </cell>
        </row>
        <row r="54">
          <cell r="A54" t="str">
            <v>Subtotal Other</v>
          </cell>
        </row>
        <row r="55">
          <cell r="A55">
            <v>0</v>
          </cell>
        </row>
        <row r="56">
          <cell r="A56" t="str">
            <v>7.  Subtotal direct eligible costs of the Action (1-6)</v>
          </cell>
        </row>
        <row r="57">
          <cell r="A57" t="str">
            <v xml:space="preserve">8. Provision for contingency reserve (maximum 5% of 7, subtotal of direct eligible costs of the Action) </v>
          </cell>
        </row>
        <row r="58">
          <cell r="A58" t="str">
            <v>9. Total direct eligible costs of the Action (7+ 8)</v>
          </cell>
        </row>
        <row r="59">
          <cell r="A59" t="str">
            <v>10.  Administrative costs (maximum 7% of 9, total direct eligible costs of the Action)</v>
          </cell>
        </row>
        <row r="60">
          <cell r="A60" t="str">
            <v>11. Total eligible costs (9+10)</v>
          </cell>
        </row>
      </sheetData>
      <sheetData sheetId="1" refreshError="1"/>
      <sheetData sheetId="2">
        <row r="5">
          <cell r="D5" t="str">
            <v>EU/EDF</v>
          </cell>
        </row>
      </sheetData>
      <sheetData sheetId="3">
        <row r="1">
          <cell r="J1">
            <v>11.260823</v>
          </cell>
        </row>
      </sheetData>
      <sheetData sheetId="4">
        <row r="28">
          <cell r="G28">
            <v>3.1599999999999993</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B1"/>
      <sheetName val="OB4"/>
      <sheetName val="OB5"/>
      <sheetName val="Administrative costs"/>
      <sheetName val="PR_SR Costs"/>
      <sheetName val="BUDGET USD"/>
      <sheetName val="BUDGET UA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PR Unit Costs"/>
      <sheetName val="OB1"/>
      <sheetName val="OB2"/>
      <sheetName val="OB4"/>
      <sheetName val="OB5"/>
      <sheetName val="SDA1"/>
      <sheetName val="SDA2"/>
      <sheetName val="SDA3"/>
      <sheetName val="SDA4"/>
      <sheetName val="SDA5"/>
      <sheetName val="SDA9"/>
      <sheetName val="SDA12"/>
      <sheetName val="SDA14"/>
      <sheetName val="SDA15"/>
      <sheetName val="DEFINITIONS"/>
      <sheetName val="Summary of changes"/>
      <sheetName val="Summary_Bdg"/>
      <sheetName val="RBudget_no Crimea"/>
      <sheetName val="Crimea_Detail Budget"/>
      <sheetName val="RBudget by CC"/>
      <sheetName val="SR_2016_Q"/>
      <sheetName val="MDR TB"/>
      <sheetName val="MA in ATO"/>
      <sheetName val="HCV"/>
      <sheetName val="Pilot_test"/>
      <sheetName val="PDI"/>
      <sheetName val="RBF MDR TB"/>
      <sheetName val="RBF"/>
      <sheetName val="Backec"/>
      <sheetName val="TB_regular programme"/>
      <sheetName val="TB_Donetsk"/>
      <sheetName val="detailed"/>
    </sheetNames>
    <sheetDataSet>
      <sheetData sheetId="0">
        <row r="214">
          <cell r="A214" t="str">
            <v>USD</v>
          </cell>
        </row>
        <row r="215">
          <cell r="A215" t="str">
            <v>EUR</v>
          </cell>
        </row>
        <row r="217">
          <cell r="A217" t="str">
            <v>Phase 1</v>
          </cell>
        </row>
        <row r="218">
          <cell r="A218" t="str">
            <v>Phase 2</v>
          </cell>
        </row>
        <row r="234">
          <cell r="A234" t="str">
            <v>PREVENTION</v>
          </cell>
        </row>
        <row r="235">
          <cell r="A235" t="str">
            <v>Treatment</v>
          </cell>
        </row>
        <row r="236">
          <cell r="A236" t="str">
            <v>Supportive Environment</v>
          </cell>
        </row>
        <row r="249">
          <cell r="A249" t="str">
            <v>PR</v>
          </cell>
        </row>
        <row r="250">
          <cell r="A250" t="str">
            <v>SR</v>
          </cell>
        </row>
        <row r="252">
          <cell r="A252" t="str">
            <v>Academic / educational sector</v>
          </cell>
        </row>
        <row r="253">
          <cell r="A253" t="str">
            <v>Government</v>
          </cell>
        </row>
        <row r="254">
          <cell r="A254" t="str">
            <v>Non-governmental / Community-Based Organization</v>
          </cell>
        </row>
        <row r="255">
          <cell r="A255" t="str">
            <v>People living with HIV/AIDS, Tuberculosis and/or Malaria</v>
          </cell>
        </row>
        <row r="256">
          <cell r="A256" t="str">
            <v>Private Sector</v>
          </cell>
        </row>
        <row r="257">
          <cell r="A257" t="str">
            <v>Religious / Faith-Based Organization</v>
          </cell>
        </row>
        <row r="258">
          <cell r="A258" t="str">
            <v>Multi-/bilateral development partner</v>
          </cell>
        </row>
        <row r="259">
          <cell r="A259" t="str">
            <v>Other (please, specify)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Q71"/>
  <sheetViews>
    <sheetView showZeros="0" zoomScale="70" zoomScaleNormal="70" workbookViewId="0">
      <pane xSplit="3" ySplit="6" topLeftCell="D15" activePane="bottomRight" state="frozenSplit"/>
      <selection pane="topRight" activeCell="D1" sqref="D1"/>
      <selection pane="bottomLeft" activeCell="C37" sqref="C37"/>
      <selection pane="bottomRight" activeCell="E21" sqref="E21"/>
    </sheetView>
  </sheetViews>
  <sheetFormatPr defaultColWidth="8.85546875" defaultRowHeight="15" outlineLevelRow="1" outlineLevelCol="1" x14ac:dyDescent="0.25"/>
  <cols>
    <col min="1" max="1" width="9.140625" style="62" hidden="1" customWidth="1" outlineLevel="1"/>
    <col min="2" max="2" width="6" style="62" hidden="1" customWidth="1" outlineLevel="1"/>
    <col min="3" max="3" width="6" style="62" customWidth="1" collapsed="1"/>
    <col min="4" max="4" width="5.42578125" style="66" customWidth="1"/>
    <col min="5" max="5" width="65.42578125" style="85" customWidth="1"/>
    <col min="6" max="6" width="14.28515625" style="66" customWidth="1"/>
    <col min="7" max="7" width="13.28515625" style="66" hidden="1" customWidth="1" outlineLevel="1"/>
    <col min="8" max="8" width="15.140625" style="86" hidden="1" customWidth="1" outlineLevel="1"/>
    <col min="9" max="9" width="24.140625" style="66" customWidth="1" collapsed="1"/>
    <col min="10" max="10" width="8.85546875" style="66"/>
    <col min="11" max="11" width="20" style="390" hidden="1" customWidth="1" outlineLevel="1"/>
    <col min="12" max="12" width="17.28515625" style="390" hidden="1" customWidth="1" outlineLevel="1"/>
    <col min="13" max="13" width="11.42578125" style="390" hidden="1" customWidth="1" outlineLevel="1"/>
    <col min="14" max="14" width="10.7109375" style="66" hidden="1" customWidth="1" outlineLevel="1"/>
    <col min="15" max="15" width="8.85546875" style="66" collapsed="1"/>
    <col min="16" max="16384" width="8.85546875" style="66"/>
  </cols>
  <sheetData>
    <row r="1" spans="1:13" ht="23.1" customHeight="1" x14ac:dyDescent="0.25">
      <c r="C1" s="63"/>
      <c r="D1" s="226" t="s">
        <v>361</v>
      </c>
      <c r="E1" s="65"/>
      <c r="F1" s="64"/>
      <c r="G1" s="88" t="s">
        <v>145</v>
      </c>
      <c r="H1" s="89" t="s">
        <v>144</v>
      </c>
      <c r="I1" s="88" t="str">
        <f>GenAssumptions!B8</f>
        <v>RUB</v>
      </c>
    </row>
    <row r="2" spans="1:13" s="72" customFormat="1" ht="69" customHeight="1" x14ac:dyDescent="0.25">
      <c r="A2" s="67"/>
      <c r="B2" s="67"/>
      <c r="C2" s="68"/>
      <c r="D2" s="407" t="s">
        <v>295</v>
      </c>
      <c r="E2" s="407"/>
      <c r="F2" s="407"/>
      <c r="G2" s="69">
        <f>G7+G61+G28+G59</f>
        <v>149.22776999999999</v>
      </c>
      <c r="H2" s="70">
        <f>G2/GenAssumptions!$B$11</f>
        <v>111.36400746268656</v>
      </c>
      <c r="I2" s="71">
        <f>I7+I61+I28+I59</f>
        <v>13663.8369</v>
      </c>
      <c r="K2" s="391">
        <f>G2*GenAssumptions!$E$16</f>
        <v>149227.76999999999</v>
      </c>
      <c r="L2" s="391">
        <f>I2*GenAssumptions!$E$16</f>
        <v>13663836.9</v>
      </c>
      <c r="M2" s="390"/>
    </row>
    <row r="3" spans="1:13" s="72" customFormat="1" ht="30.95" customHeight="1" x14ac:dyDescent="0.25">
      <c r="A3" s="67"/>
      <c r="B3" s="67"/>
      <c r="C3" s="68"/>
      <c r="D3" s="384" t="s">
        <v>357</v>
      </c>
      <c r="E3" s="385"/>
      <c r="F3" s="385"/>
      <c r="G3" s="386">
        <f>G12+G32*(1+$F$59)+G61</f>
        <v>98.684769999999986</v>
      </c>
      <c r="H3" s="387">
        <f>H12+H32*(1+$F$59)+H61</f>
        <v>73.645350746268647</v>
      </c>
      <c r="I3" s="406">
        <f>I12+I32*(1+$F$59)+I61</f>
        <v>6976.7568999999994</v>
      </c>
      <c r="K3" s="391">
        <f>G3*GenAssumptions!$E$16</f>
        <v>98684.76999999999</v>
      </c>
      <c r="L3" s="390"/>
      <c r="M3" s="390"/>
    </row>
    <row r="4" spans="1:13" s="72" customFormat="1" ht="30.95" customHeight="1" x14ac:dyDescent="0.25">
      <c r="A4" s="67"/>
      <c r="B4" s="67"/>
      <c r="C4" s="68"/>
      <c r="D4" s="384" t="s">
        <v>358</v>
      </c>
      <c r="E4" s="388"/>
      <c r="F4" s="389"/>
      <c r="G4" s="386">
        <f>G19+G38*(1+$F$59)</f>
        <v>50.542999999999999</v>
      </c>
      <c r="H4" s="387">
        <f>H19+H38*(1+$F$59)</f>
        <v>37.718656716417904</v>
      </c>
      <c r="I4" s="405">
        <f>I19+I38*(1+$F$59)</f>
        <v>6688.1</v>
      </c>
      <c r="K4" s="391">
        <f>G4*GenAssumptions!$E$16</f>
        <v>50543</v>
      </c>
      <c r="L4" s="390"/>
      <c r="M4" s="390"/>
    </row>
    <row r="5" spans="1:13" s="72" customFormat="1" ht="52.5" hidden="1" customHeight="1" outlineLevel="1" x14ac:dyDescent="0.25">
      <c r="A5" s="67"/>
      <c r="B5" s="67"/>
      <c r="C5" s="73"/>
      <c r="D5" s="409" t="s">
        <v>310</v>
      </c>
      <c r="E5" s="409"/>
      <c r="F5" s="409"/>
      <c r="G5" s="74">
        <f>G2*GenAssumptions!$E$16</f>
        <v>149227.76999999999</v>
      </c>
      <c r="H5" s="75">
        <f>G5/GenAssumptions!$B$11</f>
        <v>111364.00746268655</v>
      </c>
      <c r="I5" s="76">
        <f>G5*GenAssumptions!$B$10</f>
        <v>10445943.899999999</v>
      </c>
      <c r="K5" s="391">
        <f>G5*GenAssumptions!$E$16</f>
        <v>149227770</v>
      </c>
      <c r="L5" s="390"/>
      <c r="M5" s="390"/>
    </row>
    <row r="6" spans="1:13" ht="16.5" hidden="1" outlineLevel="1" x14ac:dyDescent="0.25">
      <c r="C6" s="77"/>
      <c r="D6" s="59"/>
      <c r="E6" s="58"/>
      <c r="F6" s="59"/>
      <c r="G6" s="78">
        <f>G5-'Budget for NGO'!I2</f>
        <v>65.639999999984866</v>
      </c>
      <c r="H6" s="78">
        <f>H5-'Budget for NGO'!J2</f>
        <v>48.985074626849382</v>
      </c>
      <c r="I6" s="78">
        <f>I5-'Budget for NGO'!K2</f>
        <v>4595.8270519599319</v>
      </c>
      <c r="K6" s="391">
        <f>G6*GenAssumptions!$E$16</f>
        <v>65639.999999984866</v>
      </c>
    </row>
    <row r="7" spans="1:13" s="80" customFormat="1" ht="21" collapsed="1" x14ac:dyDescent="0.25">
      <c r="A7" s="79"/>
      <c r="B7" s="79"/>
      <c r="C7" s="112">
        <v>1</v>
      </c>
      <c r="D7" s="112" t="s">
        <v>311</v>
      </c>
      <c r="E7" s="110"/>
      <c r="F7" s="113"/>
      <c r="G7" s="114">
        <f>SUM(G12,G19)</f>
        <v>18.47</v>
      </c>
      <c r="H7" s="115">
        <f>G7/GenAssumptions!$B$11</f>
        <v>13.783582089552237</v>
      </c>
      <c r="I7" s="116">
        <f>G7*GenAssumptions!$B$10</f>
        <v>1292.8999999999999</v>
      </c>
      <c r="K7" s="391">
        <f>G7*GenAssumptions!$E$16</f>
        <v>18470</v>
      </c>
      <c r="L7" s="390"/>
      <c r="M7" s="390"/>
    </row>
    <row r="8" spans="1:13" ht="11.25" customHeight="1" x14ac:dyDescent="0.25">
      <c r="C8" s="77"/>
      <c r="D8" s="59"/>
      <c r="E8" s="58"/>
      <c r="F8" s="59"/>
      <c r="G8" s="59"/>
      <c r="H8" s="60"/>
      <c r="I8" s="59"/>
      <c r="K8" s="391">
        <f>G8*GenAssumptions!$E$16</f>
        <v>0</v>
      </c>
    </row>
    <row r="9" spans="1:13" ht="25.5" x14ac:dyDescent="0.25">
      <c r="C9" s="77"/>
      <c r="D9" s="81" t="s">
        <v>312</v>
      </c>
      <c r="E9" s="58"/>
      <c r="F9" s="59"/>
      <c r="G9" s="59"/>
      <c r="H9" s="60"/>
      <c r="I9" s="59"/>
      <c r="K9" s="391">
        <f>G9*GenAssumptions!$E$16</f>
        <v>0</v>
      </c>
    </row>
    <row r="10" spans="1:13" ht="25.5" x14ac:dyDescent="0.25">
      <c r="C10" s="77"/>
      <c r="D10" s="81"/>
      <c r="E10" s="83" t="s">
        <v>118</v>
      </c>
      <c r="F10" s="83"/>
      <c r="G10" s="410" t="s">
        <v>204</v>
      </c>
      <c r="H10" s="410"/>
      <c r="I10" s="410"/>
      <c r="K10" s="391"/>
    </row>
    <row r="11" spans="1:13" ht="6.75" customHeight="1" x14ac:dyDescent="0.25">
      <c r="C11" s="77"/>
      <c r="D11" s="59"/>
      <c r="E11" s="58"/>
      <c r="F11" s="59"/>
      <c r="G11" s="59"/>
      <c r="H11" s="60"/>
      <c r="I11" s="59"/>
      <c r="K11" s="391">
        <f>G11*GenAssumptions!$E$16</f>
        <v>0</v>
      </c>
    </row>
    <row r="12" spans="1:13" ht="27" customHeight="1" x14ac:dyDescent="0.25">
      <c r="A12" s="62">
        <f>LARGE('Services&amp;goods'!$C$7:$C$25,1)</f>
        <v>5</v>
      </c>
      <c r="C12" s="77"/>
      <c r="D12" s="117" t="s">
        <v>129</v>
      </c>
      <c r="E12" s="118" t="s">
        <v>11</v>
      </c>
      <c r="F12" s="119"/>
      <c r="G12" s="373">
        <f>SUM(G13:G18)</f>
        <v>12.93</v>
      </c>
      <c r="H12" s="120">
        <f>SUM(H13:H18)</f>
        <v>9.6492537313432827</v>
      </c>
      <c r="I12" s="374">
        <f>SUM(I13:I18)</f>
        <v>905.82</v>
      </c>
      <c r="K12" s="391">
        <f>G12*GenAssumptions!$E$16</f>
        <v>12930</v>
      </c>
    </row>
    <row r="13" spans="1:13" ht="18.95" customHeight="1" x14ac:dyDescent="0.25">
      <c r="A13" s="62" t="s">
        <v>156</v>
      </c>
      <c r="B13" s="62">
        <v>1</v>
      </c>
      <c r="C13" s="77"/>
      <c r="D13" s="59"/>
      <c r="E13" s="58" t="str">
        <f>IF(B13&lt;=$A$12,VLOOKUP(A13,'Services&amp;goods'!$B$4:$H$54,7,0),0)</f>
        <v>Выработка знаний, навыков и изменение поведения (IEС)</v>
      </c>
      <c r="F13" s="59"/>
      <c r="G13" s="92">
        <f>SUMIFS('Services&amp;goods'!$P:$P,'Services&amp;goods'!$H:$H,$E13)</f>
        <v>6.77</v>
      </c>
      <c r="H13" s="93">
        <f>IF(G13&gt;0,G13/GenAssumptions!$B$11,0)</f>
        <v>5.0522388059701484</v>
      </c>
      <c r="I13" s="94">
        <f>SUMIFS('Services&amp;goods'!$R:$R,'Services&amp;goods'!$H:$H,$E13)</f>
        <v>473.97</v>
      </c>
      <c r="K13" s="391">
        <f>G13*GenAssumptions!$E$16</f>
        <v>6770</v>
      </c>
    </row>
    <row r="14" spans="1:13" ht="18.95" customHeight="1" x14ac:dyDescent="0.25">
      <c r="A14" s="62" t="s">
        <v>157</v>
      </c>
      <c r="B14" s="62">
        <v>2</v>
      </c>
      <c r="C14" s="77"/>
      <c r="D14" s="59"/>
      <c r="E14" s="58" t="str">
        <f>IF(B14&lt;=$A$12,VLOOKUP(A14,'Services&amp;goods'!$B$4:$H$54,7,0),0)</f>
        <v>Выдача расходных материалов</v>
      </c>
      <c r="F14" s="59"/>
      <c r="G14" s="92">
        <f>SUMIFS('Services&amp;goods'!$P:$P,'Services&amp;goods'!$H:$H,$E14)</f>
        <v>1.35</v>
      </c>
      <c r="H14" s="93">
        <f>IF(G14&gt;0,G14/GenAssumptions!$B$11,0)</f>
        <v>1.0074626865671641</v>
      </c>
      <c r="I14" s="94">
        <f>SUMIFS('Services&amp;goods'!$R:$R,'Services&amp;goods'!$H:$H,$E14)</f>
        <v>94.79</v>
      </c>
      <c r="K14" s="391">
        <f>G14*GenAssumptions!$E$16</f>
        <v>1350</v>
      </c>
    </row>
    <row r="15" spans="1:13" ht="18.95" customHeight="1" x14ac:dyDescent="0.25">
      <c r="A15" s="62" t="s">
        <v>158</v>
      </c>
      <c r="B15" s="62">
        <v>3</v>
      </c>
      <c r="C15" s="77"/>
      <c r="D15" s="59"/>
      <c r="E15" s="58" t="str">
        <f>IF(B15&lt;=$A$12,VLOOKUP(A15,'Services&amp;goods'!$B$4:$H$54,7,0),0)</f>
        <v>Обеспечение доступа и поддержка лечения ВИЧ, социальное сопровождение</v>
      </c>
      <c r="F15" s="59"/>
      <c r="G15" s="92">
        <f>SUMIFS('Services&amp;goods'!$P:$P,'Services&amp;goods'!$H:$H,$E15)</f>
        <v>3.37</v>
      </c>
      <c r="H15" s="93">
        <f>IF(G15&gt;0,G15/GenAssumptions!$B$11,0)</f>
        <v>2.5149253731343282</v>
      </c>
      <c r="I15" s="94">
        <f>SUMIFS('Services&amp;goods'!$R:$R,'Services&amp;goods'!$H:$H,$E15)</f>
        <v>236.10000000000002</v>
      </c>
      <c r="K15" s="391">
        <f>G15*GenAssumptions!$E$16</f>
        <v>3370</v>
      </c>
    </row>
    <row r="16" spans="1:13" ht="18.95" customHeight="1" x14ac:dyDescent="0.25">
      <c r="A16" s="62" t="s">
        <v>159</v>
      </c>
      <c r="B16" s="62">
        <v>4</v>
      </c>
      <c r="C16" s="77"/>
      <c r="D16" s="59"/>
      <c r="E16" s="58" t="str">
        <f>IF(B16&lt;=$A$12,VLOOKUP(A16,'Services&amp;goods'!$B$4:$H$54,7,0),0)</f>
        <v>Тестирование на ВИЧ (HTC) и консультирование</v>
      </c>
      <c r="F16" s="59"/>
      <c r="G16" s="98">
        <f>SUMIFS('Services&amp;goods'!$P:$P,'Services&amp;goods'!$H:$H,$E16)</f>
        <v>1.3</v>
      </c>
      <c r="H16" s="99">
        <f>IF(G16&gt;0,G16/GenAssumptions!$B$11,0)</f>
        <v>0.97014925373134331</v>
      </c>
      <c r="I16" s="94">
        <f>SUMIFS('Services&amp;goods'!$R:$R,'Services&amp;goods'!$H:$H,$E16)</f>
        <v>91</v>
      </c>
      <c r="K16" s="391">
        <f>G16*GenAssumptions!$E$16</f>
        <v>1300</v>
      </c>
    </row>
    <row r="17" spans="1:17" ht="18.95" customHeight="1" x14ac:dyDescent="0.25">
      <c r="A17" s="62" t="s">
        <v>160</v>
      </c>
      <c r="B17" s="62">
        <v>5</v>
      </c>
      <c r="C17" s="77"/>
      <c r="D17" s="59"/>
      <c r="E17" s="58" t="str">
        <f>IF(B17&lt;=$A$12,VLOOKUP(A17,'Services&amp;goods'!$B$4:$H$54,7,0),0)</f>
        <v>Психологическая поддержка</v>
      </c>
      <c r="F17" s="59"/>
      <c r="G17" s="98">
        <f>SUMIFS('Services&amp;goods'!$P:$P,'Services&amp;goods'!$H:$H,$E17)</f>
        <v>0.14000000000000001</v>
      </c>
      <c r="H17" s="99">
        <f>IF(G17&gt;0,G17/GenAssumptions!$B$11,0)</f>
        <v>0.10447761194029852</v>
      </c>
      <c r="I17" s="94">
        <f>SUMIFS('Services&amp;goods'!$R:$R,'Services&amp;goods'!$H:$H,$E17)</f>
        <v>9.9600000000000009</v>
      </c>
      <c r="K17" s="391">
        <f>G17*GenAssumptions!$E$16</f>
        <v>140</v>
      </c>
    </row>
    <row r="18" spans="1:17" ht="18.95" customHeight="1" x14ac:dyDescent="0.25">
      <c r="A18" s="62" t="s">
        <v>161</v>
      </c>
      <c r="B18" s="62">
        <v>6</v>
      </c>
      <c r="C18" s="77"/>
      <c r="D18" s="59"/>
      <c r="E18" s="58">
        <f>IF(B18&lt;=$A$12,VLOOKUP(A18,'Services&amp;goods'!$B$4:$H$54,7,0),0)</f>
        <v>0</v>
      </c>
      <c r="F18" s="59"/>
      <c r="G18" s="98">
        <f>SUMIFS('Services&amp;goods'!$P:$P,'Services&amp;goods'!$H:$H,$E18)</f>
        <v>0</v>
      </c>
      <c r="H18" s="99">
        <f>IF(G18&gt;0,G18/GenAssumptions!$B$11,0)</f>
        <v>0</v>
      </c>
      <c r="I18" s="96">
        <f>IF(G18&gt;0,G18*GenAssumptions!$B$10,0)</f>
        <v>0</v>
      </c>
      <c r="K18" s="391">
        <f>G18*GenAssumptions!$E$16</f>
        <v>0</v>
      </c>
    </row>
    <row r="19" spans="1:17" ht="38.1" customHeight="1" x14ac:dyDescent="0.25">
      <c r="A19" s="84">
        <f>LARGE('Services&amp;goods'!$C$31:$C$54,1)</f>
        <v>4</v>
      </c>
      <c r="C19" s="77"/>
      <c r="D19" s="117" t="s">
        <v>119</v>
      </c>
      <c r="E19" s="372" t="s">
        <v>12</v>
      </c>
      <c r="F19" s="372"/>
      <c r="G19" s="373">
        <f>SUM(G20:G25)</f>
        <v>5.54</v>
      </c>
      <c r="H19" s="120">
        <f>SUM(H20:H25)</f>
        <v>4.1343283582089549</v>
      </c>
      <c r="I19" s="374">
        <f>SUM(I20:I25)</f>
        <v>388.1</v>
      </c>
      <c r="K19" s="391">
        <f>G19*GenAssumptions!$E$16</f>
        <v>5540</v>
      </c>
    </row>
    <row r="20" spans="1:17" ht="18.95" customHeight="1" x14ac:dyDescent="0.25">
      <c r="A20" s="62" t="s">
        <v>162</v>
      </c>
      <c r="B20" s="62">
        <v>1</v>
      </c>
      <c r="C20" s="77"/>
      <c r="D20" s="59"/>
      <c r="E20" s="58" t="str">
        <f>IF(B20&lt;=$A$19,VLOOKUP(A20,'Services&amp;goods'!$B$4:$H$54,7,0),0)</f>
        <v>Профилактика ИППП ( STI)</v>
      </c>
      <c r="F20" s="59"/>
      <c r="G20" s="98">
        <f>SUMIFS('Services&amp;goods'!$P:$P,'Services&amp;goods'!$H:$H,$E20)</f>
        <v>2.71</v>
      </c>
      <c r="H20" s="99">
        <f>IF(G20&gt;0,G20/GenAssumptions!$B$11,0)</f>
        <v>2.0223880597014925</v>
      </c>
      <c r="I20" s="94">
        <f>SUMIFS('Services&amp;goods'!$R:$R,'Services&amp;goods'!$H:$H,$E20)</f>
        <v>189.59</v>
      </c>
      <c r="K20" s="391">
        <f>G20*GenAssumptions!$E$16</f>
        <v>2710</v>
      </c>
    </row>
    <row r="21" spans="1:17" ht="18.95" customHeight="1" x14ac:dyDescent="0.25">
      <c r="A21" s="62" t="s">
        <v>163</v>
      </c>
      <c r="B21" s="62">
        <v>2</v>
      </c>
      <c r="C21" s="77"/>
      <c r="D21" s="59"/>
      <c r="E21" s="58" t="str">
        <f>IF(B21&lt;=$A$19,VLOOKUP(A21,'Services&amp;goods'!$B$4:$H$54,7,0),0)</f>
        <v>Диагностика, профилактика и лечение Гепатитов (Hep)</v>
      </c>
      <c r="F21" s="59"/>
      <c r="G21" s="98">
        <f>SUMIFS('Services&amp;goods'!$P:$P,'Services&amp;goods'!$H:$H,$E21)</f>
        <v>0.68</v>
      </c>
      <c r="H21" s="99">
        <f>IF(G21&gt;0,G21/GenAssumptions!$B$11,0)</f>
        <v>0.5074626865671642</v>
      </c>
      <c r="I21" s="94">
        <f>SUMIFS('Services&amp;goods'!$R:$R,'Services&amp;goods'!$H:$H,$E21)</f>
        <v>47.400000000000006</v>
      </c>
      <c r="K21" s="391">
        <f>G21*GenAssumptions!$E$16</f>
        <v>680</v>
      </c>
    </row>
    <row r="22" spans="1:17" ht="18.95" customHeight="1" x14ac:dyDescent="0.25">
      <c r="A22" s="62" t="s">
        <v>164</v>
      </c>
      <c r="B22" s="62">
        <v>3</v>
      </c>
      <c r="C22" s="77"/>
      <c r="D22" s="59"/>
      <c r="E22" s="58" t="str">
        <f>IF(B22&lt;=$A$19,VLOOKUP(A22,'Services&amp;goods'!$B$4:$H$54,7,0),0)</f>
        <v>Диагностика, профилактика и лечение туберкулеза (TB)</v>
      </c>
      <c r="F22" s="59"/>
      <c r="G22" s="98">
        <f>SUMIFS('Services&amp;goods'!$P:$P,'Services&amp;goods'!$H:$H,$E22)</f>
        <v>1.62</v>
      </c>
      <c r="H22" s="99">
        <f>IF(G22&gt;0,G22/GenAssumptions!$B$11,0)</f>
        <v>1.208955223880597</v>
      </c>
      <c r="I22" s="94">
        <f>SUMIFS('Services&amp;goods'!$R:$R,'Services&amp;goods'!$H:$H,$E22)</f>
        <v>113.76</v>
      </c>
      <c r="K22" s="391">
        <f>G22*GenAssumptions!$E$16</f>
        <v>1620</v>
      </c>
    </row>
    <row r="23" spans="1:17" ht="18.95" customHeight="1" x14ac:dyDescent="0.25">
      <c r="A23" s="62" t="s">
        <v>165</v>
      </c>
      <c r="B23" s="62">
        <v>4</v>
      </c>
      <c r="C23" s="77"/>
      <c r="D23" s="59"/>
      <c r="E23" s="58" t="str">
        <f>IF(B23&lt;=$A$19,VLOOKUP(A23,'Services&amp;goods'!$B$4:$H$54,7,0),0)</f>
        <v>Правовая поддержка</v>
      </c>
      <c r="F23" s="59"/>
      <c r="G23" s="98">
        <f>SUMIFS('Services&amp;goods'!$P:$P,'Services&amp;goods'!$H:$H,$E23)</f>
        <v>0.53</v>
      </c>
      <c r="H23" s="99">
        <f>IF(G23&gt;0,G23/GenAssumptions!$B$11,0)</f>
        <v>0.39552238805970147</v>
      </c>
      <c r="I23" s="94">
        <f>SUMIFS('Services&amp;goods'!$R:$R,'Services&amp;goods'!$H:$H,$E23)</f>
        <v>37.35</v>
      </c>
      <c r="K23" s="391">
        <f>G23*GenAssumptions!$E$16</f>
        <v>530</v>
      </c>
    </row>
    <row r="24" spans="1:17" ht="18.95" customHeight="1" x14ac:dyDescent="0.25">
      <c r="A24" s="62" t="s">
        <v>166</v>
      </c>
      <c r="B24" s="62">
        <v>5</v>
      </c>
      <c r="C24" s="77"/>
      <c r="D24" s="59"/>
      <c r="E24" s="58">
        <f>IF(B24&lt;=$A$19,VLOOKUP(A24,'Services&amp;goods'!$B$4:$H$54,7,0),0)</f>
        <v>0</v>
      </c>
      <c r="F24" s="59"/>
      <c r="G24" s="98">
        <f>SUMIFS('Services&amp;goods'!$P:$P,'Services&amp;goods'!$H:$H,$E24)</f>
        <v>0</v>
      </c>
      <c r="H24" s="99">
        <f>IF(G24&gt;0,G24/GenAssumptions!$B$11,0)</f>
        <v>0</v>
      </c>
      <c r="I24" s="96">
        <f>IF(G24&gt;0,G24*GenAssumptions!$B$10,0)</f>
        <v>0</v>
      </c>
      <c r="K24" s="391">
        <f>G24*GenAssumptions!$E$16</f>
        <v>0</v>
      </c>
    </row>
    <row r="25" spans="1:17" ht="18.95" customHeight="1" x14ac:dyDescent="0.25">
      <c r="A25" s="62" t="s">
        <v>167</v>
      </c>
      <c r="B25" s="62">
        <v>6</v>
      </c>
      <c r="C25" s="77"/>
      <c r="D25" s="59"/>
      <c r="E25" s="58">
        <f>IF(B25&lt;=$A$19,VLOOKUP(A25,'Services&amp;goods'!$B$4:$H$54,7,0),0)</f>
        <v>0</v>
      </c>
      <c r="F25" s="59"/>
      <c r="G25" s="98">
        <f>SUMIFS('Services&amp;goods'!$P:$P,'Services&amp;goods'!$H:$H,$E25)</f>
        <v>0</v>
      </c>
      <c r="H25" s="99">
        <f>IF(G25&gt;0,G25/GenAssumptions!$B$11,0)</f>
        <v>0</v>
      </c>
      <c r="I25" s="96">
        <f>IF(G25&gt;0,G25*GenAssumptions!$B$10,0)</f>
        <v>0</v>
      </c>
      <c r="K25" s="391">
        <f>G25*GenAssumptions!$E$16</f>
        <v>0</v>
      </c>
    </row>
    <row r="26" spans="1:17" ht="18.95" customHeight="1" x14ac:dyDescent="0.25">
      <c r="A26" s="62" t="s">
        <v>168</v>
      </c>
      <c r="B26" s="62">
        <v>7</v>
      </c>
      <c r="C26" s="77"/>
      <c r="D26" s="59"/>
      <c r="E26" s="58">
        <f>IF(B26&lt;=$A$19,VLOOKUP(A26,'Services&amp;goods'!$B$4:$H$54,7,0),0)</f>
        <v>0</v>
      </c>
      <c r="F26" s="59"/>
      <c r="G26" s="98">
        <f>SUMIFS('Services&amp;goods'!$P:$P,'Services&amp;goods'!$H:$H,$E26)</f>
        <v>0</v>
      </c>
      <c r="H26" s="99">
        <f>IF(G26&gt;0,G26/GenAssumptions!$B$11,0)</f>
        <v>0</v>
      </c>
      <c r="I26" s="96">
        <f>IF(G26&gt;0,G26*GenAssumptions!$B$10,0)</f>
        <v>0</v>
      </c>
      <c r="K26" s="391">
        <f>G26*GenAssumptions!$E$16</f>
        <v>0</v>
      </c>
    </row>
    <row r="27" spans="1:17" ht="18.95" customHeight="1" x14ac:dyDescent="0.25">
      <c r="A27" s="62" t="s">
        <v>265</v>
      </c>
      <c r="B27" s="62">
        <v>8</v>
      </c>
      <c r="C27" s="77"/>
      <c r="D27" s="59"/>
      <c r="E27" s="58">
        <f>IF(B27&lt;=$A$19,VLOOKUP(A27,'Services&amp;goods'!$B$4:$H$54,7,0),0)</f>
        <v>0</v>
      </c>
      <c r="F27" s="59"/>
      <c r="G27" s="98">
        <f>SUMIFS('Services&amp;goods'!$P:$P,'Services&amp;goods'!$H:$H,$E27)</f>
        <v>0</v>
      </c>
      <c r="H27" s="99">
        <f>IF(G27&gt;0,G27/GenAssumptions!$B$11,0)</f>
        <v>0</v>
      </c>
      <c r="I27" s="96">
        <f>IF(G27&gt;0,G27*GenAssumptions!$B$10,0)</f>
        <v>0</v>
      </c>
      <c r="K27" s="391">
        <f>G27*GenAssumptions!$E$16</f>
        <v>0</v>
      </c>
    </row>
    <row r="28" spans="1:17" s="80" customFormat="1" ht="21" x14ac:dyDescent="0.25">
      <c r="A28" s="79"/>
      <c r="B28" s="79"/>
      <c r="C28" s="112">
        <v>2</v>
      </c>
      <c r="D28" s="112" t="s">
        <v>313</v>
      </c>
      <c r="E28" s="110"/>
      <c r="F28" s="113"/>
      <c r="G28" s="111">
        <f>G32+G38</f>
        <v>53.6</v>
      </c>
      <c r="H28" s="108">
        <f>H32+H38</f>
        <v>40</v>
      </c>
      <c r="I28" s="109">
        <f>I32+I38</f>
        <v>6816.66</v>
      </c>
      <c r="K28" s="391">
        <f>G28*GenAssumptions!$E$16</f>
        <v>53600</v>
      </c>
      <c r="L28" s="391">
        <f>K28+K59</f>
        <v>394433</v>
      </c>
      <c r="M28" s="391">
        <f>L28-'Budget for NGO'!H22</f>
        <v>338233.18235299998</v>
      </c>
    </row>
    <row r="29" spans="1:17" ht="16.5" x14ac:dyDescent="0.25">
      <c r="C29" s="77"/>
      <c r="D29" s="59"/>
      <c r="E29" s="58"/>
      <c r="F29" s="59"/>
      <c r="G29" s="59"/>
      <c r="H29" s="60"/>
      <c r="I29" s="59"/>
      <c r="K29" s="391">
        <f>G29*GenAssumptions!$E$16</f>
        <v>0</v>
      </c>
    </row>
    <row r="30" spans="1:17" ht="25.5" x14ac:dyDescent="0.25">
      <c r="A30" s="62">
        <f>LARGE('Services&amp;goods'!$F$31:$F$115,1)</f>
        <v>6</v>
      </c>
      <c r="C30" s="77"/>
      <c r="D30" s="81" t="s">
        <v>314</v>
      </c>
      <c r="E30" s="58"/>
      <c r="F30" s="59"/>
      <c r="G30" s="59"/>
      <c r="H30" s="60"/>
      <c r="I30" s="59"/>
      <c r="K30" s="391">
        <f>G30*GenAssumptions!$E$16</f>
        <v>0</v>
      </c>
    </row>
    <row r="31" spans="1:17" ht="33" x14ac:dyDescent="0.25">
      <c r="C31" s="77"/>
      <c r="D31" s="81"/>
      <c r="E31" s="83" t="s">
        <v>118</v>
      </c>
      <c r="F31" s="83" t="s">
        <v>203</v>
      </c>
      <c r="G31" s="410" t="s">
        <v>204</v>
      </c>
      <c r="H31" s="410"/>
      <c r="I31" s="410"/>
      <c r="K31" s="391"/>
    </row>
    <row r="32" spans="1:17" ht="15.6" customHeight="1" x14ac:dyDescent="0.25">
      <c r="C32" s="77"/>
      <c r="D32" s="59"/>
      <c r="E32" s="375" t="s">
        <v>359</v>
      </c>
      <c r="F32" s="376"/>
      <c r="G32" s="377">
        <f>SUM(G33:G37)</f>
        <v>10.74</v>
      </c>
      <c r="H32" s="378">
        <f>SUM(H33:H37)</f>
        <v>8.0149253731343286</v>
      </c>
      <c r="I32" s="379">
        <f>SUM(I33:I37)</f>
        <v>816.66</v>
      </c>
      <c r="K32" s="395">
        <f>I32*GenAssumptions!$E$16</f>
        <v>816660</v>
      </c>
      <c r="L32" s="392"/>
      <c r="P32" s="87"/>
      <c r="Q32" s="380"/>
    </row>
    <row r="33" spans="1:17" ht="18.95" customHeight="1" x14ac:dyDescent="0.25">
      <c r="A33" s="62" t="s">
        <v>172</v>
      </c>
      <c r="B33" s="62">
        <v>1</v>
      </c>
      <c r="C33" s="77"/>
      <c r="D33" s="59"/>
      <c r="E33" s="58" t="str">
        <f>IF(B33&lt;=$A$30,VLOOKUP(A33,'Services&amp;goods'!$E$4:$W$115,15,0),0)</f>
        <v>Информационный материал</v>
      </c>
      <c r="F33" s="97">
        <f>IF($B33&lt;=$A$30,VLOOKUP($A33,'Services&amp;goods'!$E$4:$W$115,17,0),0)</f>
        <v>4</v>
      </c>
      <c r="G33" s="98">
        <f>IF($B33&lt;=$A$30,VLOOKUP($A33,'Services&amp;goods'!$E$4:$X$115,20,0),0)</f>
        <v>1.84</v>
      </c>
      <c r="H33" s="99">
        <f>IF(G33&gt;0,G33/GenAssumptions!$B$11,0)</f>
        <v>1.3731343283582089</v>
      </c>
      <c r="I33" s="96">
        <f>IF($B33&lt;=$A$30,VLOOKUP($A33,'Services&amp;goods'!$E$4:$Z$130,22,0),0)</f>
        <v>129.35</v>
      </c>
      <c r="K33" s="395">
        <f>I33*GenAssumptions!$E$16</f>
        <v>129350</v>
      </c>
    </row>
    <row r="34" spans="1:17" ht="18.95" customHeight="1" x14ac:dyDescent="0.25">
      <c r="A34" s="62" t="s">
        <v>173</v>
      </c>
      <c r="B34" s="62">
        <v>2</v>
      </c>
      <c r="C34" s="77"/>
      <c r="D34" s="59"/>
      <c r="E34" s="58" t="str">
        <f>IF(B34&lt;=$A$30,VLOOKUP(A34,'Services&amp;goods'!$E$4:$W$115,15,0),0)</f>
        <v>Шприцы и иглы</v>
      </c>
      <c r="F34" s="97">
        <f>IF($B34&lt;=$A$30,VLOOKUP($A34,'Services&amp;goods'!$E$4:$W$115,17,0),0)</f>
        <v>20</v>
      </c>
      <c r="G34" s="98">
        <f>IF($B34&lt;=$A$30,VLOOKUP($A34,'Services&amp;goods'!$E$4:$X$115,20,0),0)</f>
        <v>1.2</v>
      </c>
      <c r="H34" s="99">
        <f>IF(G34&gt;0,G34/GenAssumptions!$B$11,0)</f>
        <v>0.89552238805970141</v>
      </c>
      <c r="I34" s="96">
        <f>IF($B34&lt;=$A$30,VLOOKUP($A34,'Services&amp;goods'!$E$4:$Z$130,22,0),0)</f>
        <v>77.61</v>
      </c>
      <c r="K34" s="395">
        <f>I34*GenAssumptions!$E$16</f>
        <v>77610</v>
      </c>
    </row>
    <row r="35" spans="1:17" ht="18.95" customHeight="1" x14ac:dyDescent="0.25">
      <c r="A35" s="62" t="s">
        <v>174</v>
      </c>
      <c r="B35" s="62">
        <v>3</v>
      </c>
      <c r="C35" s="77"/>
      <c r="D35" s="59"/>
      <c r="E35" s="58" t="str">
        <f>IF(B35&lt;=$A$30,VLOOKUP(A35,'Services&amp;goods'!$E$4:$W$115,15,0),0)</f>
        <v>Презервативы</v>
      </c>
      <c r="F35" s="97">
        <f>IF($B35&lt;=$A$30,VLOOKUP($A35,'Services&amp;goods'!$E$4:$W$115,17,0),0)</f>
        <v>50</v>
      </c>
      <c r="G35" s="98">
        <f>IF($B35&lt;=$A$30,VLOOKUP($A35,'Services&amp;goods'!$E$4:$X$115,20,0),0)</f>
        <v>3.5</v>
      </c>
      <c r="H35" s="99">
        <f>IF(G35&gt;0,G35/GenAssumptions!$B$11,0)</f>
        <v>2.6119402985074625</v>
      </c>
      <c r="I35" s="96">
        <f>IF($B35&lt;=$A$30,VLOOKUP($A35,'Services&amp;goods'!$E$4:$Z$130,22,0),0)</f>
        <v>250</v>
      </c>
      <c r="K35" s="395">
        <f>I35*GenAssumptions!$E$16</f>
        <v>250000</v>
      </c>
    </row>
    <row r="36" spans="1:17" ht="18.95" customHeight="1" x14ac:dyDescent="0.25">
      <c r="A36" s="62" t="s">
        <v>175</v>
      </c>
      <c r="B36" s="62">
        <v>4</v>
      </c>
      <c r="C36" s="77"/>
      <c r="D36" s="59"/>
      <c r="E36" s="58" t="str">
        <f>IF(B36&lt;=$A$30,VLOOKUP(A36,'Services&amp;goods'!$E$4:$W$115,15,0),0)</f>
        <v>Спиртовые салфетки</v>
      </c>
      <c r="F36" s="97">
        <f>IF($B36&lt;=$A$30,VLOOKUP($A36,'Services&amp;goods'!$E$4:$W$115,17,0),0)</f>
        <v>20</v>
      </c>
      <c r="G36" s="98">
        <f>IF($B36&lt;=$A$30,VLOOKUP($A36,'Services&amp;goods'!$E$4:$X$115,20,0),0)</f>
        <v>0.2</v>
      </c>
      <c r="H36" s="99">
        <f>IF(G36&gt;0,G36/GenAssumptions!$B$11,0)</f>
        <v>0.14925373134328357</v>
      </c>
      <c r="I36" s="96">
        <f>IF($B36&lt;=$A$30,VLOOKUP($A36,'Services&amp;goods'!$E$4:$Z$130,22,0),0)</f>
        <v>9.6999999999999993</v>
      </c>
      <c r="K36" s="395">
        <f>I36*GenAssumptions!$E$16</f>
        <v>9700</v>
      </c>
    </row>
    <row r="37" spans="1:17" ht="18.95" customHeight="1" x14ac:dyDescent="0.25">
      <c r="A37" s="62" t="s">
        <v>176</v>
      </c>
      <c r="B37" s="62">
        <v>5</v>
      </c>
      <c r="C37" s="77"/>
      <c r="D37" s="59"/>
      <c r="E37" s="58" t="str">
        <f>IF(B37&lt;=$A$30,VLOOKUP(A37,'Services&amp;goods'!$E$4:$W$115,15,0),0)</f>
        <v>Быстрые тесты на ВИЧ</v>
      </c>
      <c r="F37" s="97">
        <f>IF($B37&lt;=$A$30,VLOOKUP($A37,'Services&amp;goods'!$E$4:$W$115,17,0),0)</f>
        <v>0.8</v>
      </c>
      <c r="G37" s="98">
        <f>IF($B37&lt;=$A$30,VLOOKUP($A37,'Services&amp;goods'!$E$4:$X$115,20,0),0)</f>
        <v>4</v>
      </c>
      <c r="H37" s="99">
        <f>IF(G37&gt;0,G37/GenAssumptions!$B$11,0)</f>
        <v>2.9850746268656714</v>
      </c>
      <c r="I37" s="96">
        <f>IF($B37&lt;=$A$30,VLOOKUP($A37,'Services&amp;goods'!$E$4:$Z$130,22,0),0)</f>
        <v>350</v>
      </c>
      <c r="K37" s="395">
        <f>I37*GenAssumptions!$E$16</f>
        <v>350000</v>
      </c>
    </row>
    <row r="38" spans="1:17" ht="15.6" customHeight="1" x14ac:dyDescent="0.25">
      <c r="C38" s="77"/>
      <c r="D38" s="59"/>
      <c r="E38" s="375" t="s">
        <v>360</v>
      </c>
      <c r="F38" s="376"/>
      <c r="G38" s="377">
        <f>SUM(G39:G43)</f>
        <v>42.86</v>
      </c>
      <c r="H38" s="378">
        <f>SUM(H39:H43)</f>
        <v>31.985074626865668</v>
      </c>
      <c r="I38" s="379">
        <f>SUM(I39:I43)</f>
        <v>6000</v>
      </c>
      <c r="K38" s="395">
        <f>I38*GenAssumptions!$E$16</f>
        <v>6000000</v>
      </c>
      <c r="L38" s="392"/>
      <c r="P38" s="87"/>
      <c r="Q38" s="380"/>
    </row>
    <row r="39" spans="1:17" ht="18.95" customHeight="1" x14ac:dyDescent="0.25">
      <c r="A39" s="62" t="s">
        <v>177</v>
      </c>
      <c r="B39" s="62">
        <v>6</v>
      </c>
      <c r="C39" s="77"/>
      <c r="D39" s="59"/>
      <c r="E39" s="58" t="str">
        <f>IF(B39&lt;=$A$30,VLOOKUP(A39,'Services&amp;goods'!$E$4:$W$115,15,0),0)</f>
        <v>STI tests EIA</v>
      </c>
      <c r="F39" s="97">
        <f>IF($B39&lt;=$A$30,VLOOKUP($A39,'Services&amp;goods'!$E$4:$W$115,17,0),0)</f>
        <v>0.5</v>
      </c>
      <c r="G39" s="98">
        <f>IF($B39&lt;=$A$30,VLOOKUP($A39,'Services&amp;goods'!$E$4:$X$115,20,0),0)</f>
        <v>42.86</v>
      </c>
      <c r="H39" s="99">
        <f>IF(G39&gt;0,G39/GenAssumptions!$B$11,0)</f>
        <v>31.985074626865668</v>
      </c>
      <c r="I39" s="96">
        <f>IF($B39&lt;=$A$30,VLOOKUP($A39,'Services&amp;goods'!$E$4:$Z$130,22,0),0)</f>
        <v>6000</v>
      </c>
      <c r="K39" s="395">
        <f>I39*GenAssumptions!$E$16</f>
        <v>6000000</v>
      </c>
    </row>
    <row r="40" spans="1:17" ht="18.95" customHeight="1" x14ac:dyDescent="0.25">
      <c r="A40" s="62" t="s">
        <v>178</v>
      </c>
      <c r="B40" s="62">
        <v>7</v>
      </c>
      <c r="C40" s="77"/>
      <c r="D40" s="59"/>
      <c r="E40" s="58">
        <f>IF(B40&lt;=$A$30,VLOOKUP(A40,'Services&amp;goods'!$E$4:$W$115,15,0),0)</f>
        <v>0</v>
      </c>
      <c r="F40" s="97">
        <f>IF($B40&lt;=$A$30,VLOOKUP($A40,'Services&amp;goods'!$E$4:$W$115,17,0),0)</f>
        <v>0</v>
      </c>
      <c r="G40" s="98">
        <f>IF($B40&lt;=$A$30,VLOOKUP($A40,'Services&amp;goods'!$E$4:$X$115,20,0),0)</f>
        <v>0</v>
      </c>
      <c r="H40" s="99">
        <f>IF(G40&gt;0,G40/GenAssumptions!$B$11,0)</f>
        <v>0</v>
      </c>
      <c r="I40" s="96">
        <f>IF($B40&lt;=$A$30,VLOOKUP($A40,'Services&amp;goods'!$E$4:$Z$130,22,0),0)</f>
        <v>0</v>
      </c>
      <c r="K40" s="395">
        <f>I40*GenAssumptions!$E$16</f>
        <v>0</v>
      </c>
    </row>
    <row r="41" spans="1:17" ht="18.95" customHeight="1" x14ac:dyDescent="0.25">
      <c r="A41" s="62" t="s">
        <v>179</v>
      </c>
      <c r="B41" s="62">
        <v>8</v>
      </c>
      <c r="C41" s="77"/>
      <c r="D41" s="59"/>
      <c r="E41" s="58">
        <f>IF(B41&lt;=$A$30,VLOOKUP(A41,'Services&amp;goods'!$E$4:$W$115,15,0),0)</f>
        <v>0</v>
      </c>
      <c r="F41" s="97">
        <f>IF($B41&lt;=$A$30,VLOOKUP($A41,'Services&amp;goods'!$E$4:$W$115,17,0),0)</f>
        <v>0</v>
      </c>
      <c r="G41" s="98">
        <f>IF($B41&lt;=$A$30,VLOOKUP($A41,'Services&amp;goods'!$E$4:$X$115,20,0),0)</f>
        <v>0</v>
      </c>
      <c r="H41" s="99">
        <f>IF(G41&gt;0,G41/GenAssumptions!$B$11,0)</f>
        <v>0</v>
      </c>
      <c r="I41" s="96">
        <f>IF($B41&lt;=$A$30,VLOOKUP($A41,'Services&amp;goods'!$E$4:$Z$130,22,0),0)</f>
        <v>0</v>
      </c>
      <c r="K41" s="395">
        <f>I41*GenAssumptions!$E$16</f>
        <v>0</v>
      </c>
    </row>
    <row r="42" spans="1:17" ht="18.95" customHeight="1" x14ac:dyDescent="0.25">
      <c r="A42" s="62" t="s">
        <v>180</v>
      </c>
      <c r="B42" s="62">
        <v>9</v>
      </c>
      <c r="C42" s="77"/>
      <c r="D42" s="59"/>
      <c r="E42" s="58">
        <f>IF(B42&lt;=$A$30,VLOOKUP(A42,'Services&amp;goods'!$E$4:$W$115,15,0),0)</f>
        <v>0</v>
      </c>
      <c r="F42" s="97">
        <f>IF($B42&lt;=$A$30,VLOOKUP($A42,'Services&amp;goods'!$E$4:$W$115,17,0),0)</f>
        <v>0</v>
      </c>
      <c r="G42" s="98">
        <f>IF($B42&lt;=$A$30,VLOOKUP($A42,'Services&amp;goods'!$E$4:$X$115,20,0),0)</f>
        <v>0</v>
      </c>
      <c r="H42" s="99">
        <f>IF(G42&gt;0,G42/GenAssumptions!$B$11,0)</f>
        <v>0</v>
      </c>
      <c r="I42" s="96">
        <f>IF($B42&lt;=$A$30,VLOOKUP($A42,'Services&amp;goods'!$E$4:$Z$130,22,0),0)</f>
        <v>0</v>
      </c>
      <c r="K42" s="395">
        <f>I42*GenAssumptions!$E$16</f>
        <v>0</v>
      </c>
    </row>
    <row r="43" spans="1:17" ht="18.95" customHeight="1" x14ac:dyDescent="0.25">
      <c r="A43" s="62" t="s">
        <v>181</v>
      </c>
      <c r="B43" s="62">
        <v>10</v>
      </c>
      <c r="C43" s="77"/>
      <c r="D43" s="59"/>
      <c r="E43" s="58">
        <f>IF(B43&lt;=$A$30,VLOOKUP(A43,'Services&amp;goods'!$E$4:$W$115,15,0),0)</f>
        <v>0</v>
      </c>
      <c r="F43" s="97">
        <f>IF($B43&lt;=$A$30,VLOOKUP($A43,'Services&amp;goods'!$E$4:$W$115,17,0),0)</f>
        <v>0</v>
      </c>
      <c r="G43" s="98">
        <f>IF($B43&lt;=$A$30,VLOOKUP($A43,'Services&amp;goods'!$E$4:$X$115,20,0),0)</f>
        <v>0</v>
      </c>
      <c r="H43" s="99">
        <f>IF(G43&gt;0,G43/GenAssumptions!$B$11,0)</f>
        <v>0</v>
      </c>
      <c r="I43" s="96">
        <f>IF($B43&lt;=$A$30,VLOOKUP($A43,'Services&amp;goods'!$E$4:$Z$130,22,0),0)</f>
        <v>0</v>
      </c>
      <c r="K43" s="395">
        <f>I43*GenAssumptions!$E$16</f>
        <v>0</v>
      </c>
    </row>
    <row r="44" spans="1:17" ht="18.95" customHeight="1" x14ac:dyDescent="0.25">
      <c r="A44" s="62" t="s">
        <v>182</v>
      </c>
      <c r="B44" s="62">
        <v>11</v>
      </c>
      <c r="C44" s="77"/>
      <c r="D44" s="59"/>
      <c r="E44" s="58">
        <f>IF(B44&lt;=$A$30,VLOOKUP(A44,'Services&amp;goods'!$E$4:$W$115,15,0),0)</f>
        <v>0</v>
      </c>
      <c r="F44" s="97">
        <f>IF($B44&lt;=$A$30,VLOOKUP($A44,'Services&amp;goods'!$E$4:$W$115,17,0),0)</f>
        <v>0</v>
      </c>
      <c r="G44" s="98">
        <f>IF($B44&lt;=$A$30,VLOOKUP($A44,'Services&amp;goods'!$E$4:$X$115,20,0),0)</f>
        <v>0</v>
      </c>
      <c r="H44" s="99">
        <f>IF(G44&gt;0,G44/GenAssumptions!$B$11,0)</f>
        <v>0</v>
      </c>
      <c r="I44" s="96">
        <f>IF(G44&gt;0,G44*GenAssumptions!$B$10,0)</f>
        <v>0</v>
      </c>
      <c r="K44" s="391">
        <f>G44*GenAssumptions!$E$16</f>
        <v>0</v>
      </c>
    </row>
    <row r="45" spans="1:17" ht="18.95" customHeight="1" x14ac:dyDescent="0.25">
      <c r="A45" s="62" t="s">
        <v>183</v>
      </c>
      <c r="B45" s="62">
        <v>12</v>
      </c>
      <c r="C45" s="77"/>
      <c r="D45" s="59"/>
      <c r="E45" s="58">
        <f>IF(B45&lt;=$A$30,VLOOKUP(A45,'Services&amp;goods'!$E$4:$W$115,15,0),0)</f>
        <v>0</v>
      </c>
      <c r="F45" s="97">
        <f>IF($B45&lt;=$A$30,VLOOKUP($A45,'Services&amp;goods'!$E$4:$W$115,17,0),0)</f>
        <v>0</v>
      </c>
      <c r="G45" s="98">
        <f>IF($B45&lt;=$A$30,VLOOKUP($A45,'Services&amp;goods'!$E$4:$X$115,20,0),0)</f>
        <v>0</v>
      </c>
      <c r="H45" s="99">
        <f>IF(G45&gt;0,G45/GenAssumptions!$B$11,0)</f>
        <v>0</v>
      </c>
      <c r="I45" s="96">
        <f>IF(G45&gt;0,G45*GenAssumptions!$B$10,0)</f>
        <v>0</v>
      </c>
      <c r="K45" s="391">
        <f>G45*GenAssumptions!$E$16</f>
        <v>0</v>
      </c>
    </row>
    <row r="46" spans="1:17" ht="18.95" customHeight="1" x14ac:dyDescent="0.25">
      <c r="A46" s="62" t="s">
        <v>184</v>
      </c>
      <c r="B46" s="62">
        <v>13</v>
      </c>
      <c r="C46" s="77"/>
      <c r="D46" s="59"/>
      <c r="E46" s="58">
        <f>IF(B46&lt;=$A$30,VLOOKUP(A46,'Services&amp;goods'!$E$4:$W$115,15,0),0)</f>
        <v>0</v>
      </c>
      <c r="F46" s="97">
        <f>IF($B46&lt;=$A$30,VLOOKUP($A46,'Services&amp;goods'!$E$4:$W$115,17,0),0)</f>
        <v>0</v>
      </c>
      <c r="G46" s="98">
        <f>IF($B46&lt;=$A$30,VLOOKUP($A46,'Services&amp;goods'!$E$4:$X$115,20,0),0)</f>
        <v>0</v>
      </c>
      <c r="H46" s="99">
        <f>IF(G46&gt;0,G46/GenAssumptions!$B$11,0)</f>
        <v>0</v>
      </c>
      <c r="I46" s="96">
        <f>IF(G46&gt;0,G46*GenAssumptions!$B$10,0)</f>
        <v>0</v>
      </c>
      <c r="K46" s="391">
        <f>G46*GenAssumptions!$E$16</f>
        <v>0</v>
      </c>
    </row>
    <row r="47" spans="1:17" ht="18.95" customHeight="1" x14ac:dyDescent="0.25">
      <c r="A47" s="62" t="s">
        <v>185</v>
      </c>
      <c r="B47" s="62">
        <v>14</v>
      </c>
      <c r="C47" s="77"/>
      <c r="D47" s="59"/>
      <c r="E47" s="58">
        <f>IF(B47&lt;=$A$30,VLOOKUP(A47,'Services&amp;goods'!$E$4:$W$115,15,0),0)</f>
        <v>0</v>
      </c>
      <c r="F47" s="97">
        <f>IF($B47&lt;=$A$30,VLOOKUP($A47,'Services&amp;goods'!$E$4:$W$115,17,0),0)</f>
        <v>0</v>
      </c>
      <c r="G47" s="98">
        <f>IF($B47&lt;=$A$30,VLOOKUP($A47,'Services&amp;goods'!$E$4:$X$115,20,0),0)</f>
        <v>0</v>
      </c>
      <c r="H47" s="99">
        <f>IF(G47&gt;0,G47/GenAssumptions!$B$11,0)</f>
        <v>0</v>
      </c>
      <c r="I47" s="96">
        <f>IF(G47&gt;0,G47*GenAssumptions!$B$10,0)</f>
        <v>0</v>
      </c>
      <c r="K47" s="391">
        <f>G47*GenAssumptions!$E$16</f>
        <v>0</v>
      </c>
    </row>
    <row r="48" spans="1:17" ht="18.95" customHeight="1" x14ac:dyDescent="0.25">
      <c r="A48" s="62" t="s">
        <v>186</v>
      </c>
      <c r="B48" s="62">
        <v>15</v>
      </c>
      <c r="C48" s="77"/>
      <c r="D48" s="59"/>
      <c r="E48" s="58">
        <f>IF(B48&lt;=$A$30,VLOOKUP(A48,'Services&amp;goods'!$E$4:$W$115,15,0),0)</f>
        <v>0</v>
      </c>
      <c r="F48" s="97">
        <f>IF($B48&lt;=$A$30,VLOOKUP($A48,'Services&amp;goods'!$E$4:$W$115,17,0),0)</f>
        <v>0</v>
      </c>
      <c r="G48" s="98">
        <f>IF($B48&lt;=$A$30,VLOOKUP($A48,'Services&amp;goods'!$E$4:$X$115,20,0),0)</f>
        <v>0</v>
      </c>
      <c r="H48" s="99">
        <f>IF(G48&gt;0,G48/GenAssumptions!$B$11,0)</f>
        <v>0</v>
      </c>
      <c r="I48" s="96">
        <f>IF(G48&gt;0,G48*GenAssumptions!$B$10,0)</f>
        <v>0</v>
      </c>
      <c r="K48" s="391">
        <f>G48*GenAssumptions!$E$16</f>
        <v>0</v>
      </c>
    </row>
    <row r="49" spans="1:14" ht="18.95" hidden="1" customHeight="1" outlineLevel="1" x14ac:dyDescent="0.25">
      <c r="A49" s="62" t="s">
        <v>187</v>
      </c>
      <c r="B49" s="62">
        <v>16</v>
      </c>
      <c r="C49" s="77"/>
      <c r="D49" s="59"/>
      <c r="E49" s="58">
        <f>IF(B49&lt;=$A$30,VLOOKUP(A49,'Services&amp;goods'!$E$4:$W$115,15,0),0)</f>
        <v>0</v>
      </c>
      <c r="F49" s="97">
        <f>IF($B49&lt;=$A$30,VLOOKUP($A49,'Services&amp;goods'!$E$4:$W$115,17,0),0)</f>
        <v>0</v>
      </c>
      <c r="G49" s="98">
        <f>IF($B49&lt;=$A$30,VLOOKUP($A49,'Services&amp;goods'!$E$4:$X$115,20,0),0)</f>
        <v>0</v>
      </c>
      <c r="H49" s="99">
        <f>IF(G49&gt;0,G49/GenAssumptions!$B$11,0)</f>
        <v>0</v>
      </c>
      <c r="I49" s="96">
        <f>IF(G49&gt;0,G49*GenAssumptions!$B$10,0)</f>
        <v>0</v>
      </c>
      <c r="K49" s="391">
        <f>G49*GenAssumptions!$E$16</f>
        <v>0</v>
      </c>
    </row>
    <row r="50" spans="1:14" ht="18.95" hidden="1" customHeight="1" outlineLevel="1" x14ac:dyDescent="0.25">
      <c r="A50" s="62" t="s">
        <v>188</v>
      </c>
      <c r="B50" s="62">
        <v>17</v>
      </c>
      <c r="C50" s="77"/>
      <c r="D50" s="59"/>
      <c r="E50" s="58">
        <f>IF(B50&lt;=$A$30,VLOOKUP(A50,'Services&amp;goods'!$E$4:$W$115,15,0),0)</f>
        <v>0</v>
      </c>
      <c r="F50" s="97">
        <f>IF($B50&lt;=$A$30,VLOOKUP($A50,'Services&amp;goods'!$E$4:$W$115,17,0),0)</f>
        <v>0</v>
      </c>
      <c r="G50" s="98">
        <f>IF($B50&lt;=$A$30,VLOOKUP($A50,'Services&amp;goods'!$E$4:$X$115,20,0),0)</f>
        <v>0</v>
      </c>
      <c r="H50" s="99">
        <f>IF(G50&gt;0,G50/GenAssumptions!$B$11,0)</f>
        <v>0</v>
      </c>
      <c r="I50" s="96">
        <f>IF(G50&gt;0,G50*GenAssumptions!$B$10,0)</f>
        <v>0</v>
      </c>
      <c r="K50" s="391">
        <f>G50*GenAssumptions!$E$16</f>
        <v>0</v>
      </c>
    </row>
    <row r="51" spans="1:14" ht="18.95" hidden="1" customHeight="1" outlineLevel="1" x14ac:dyDescent="0.25">
      <c r="A51" s="62" t="s">
        <v>189</v>
      </c>
      <c r="B51" s="62">
        <v>18</v>
      </c>
      <c r="C51" s="77"/>
      <c r="D51" s="59"/>
      <c r="E51" s="58">
        <f>IF(B51&lt;=$A$30,VLOOKUP(A51,'Services&amp;goods'!$E$4:$W$115,15,0),0)</f>
        <v>0</v>
      </c>
      <c r="F51" s="97">
        <f>IF($B51&lt;=$A$30,VLOOKUP($A51,'Services&amp;goods'!$E$4:$W$115,17,0),0)</f>
        <v>0</v>
      </c>
      <c r="G51" s="98">
        <f>IF($B51&lt;=$A$30,VLOOKUP($A51,'Services&amp;goods'!$E$4:$X$115,20,0),0)</f>
        <v>0</v>
      </c>
      <c r="H51" s="99">
        <f>IF(G51&gt;0,G51/GenAssumptions!$B$11,0)</f>
        <v>0</v>
      </c>
      <c r="I51" s="96">
        <f>IF(G51&gt;0,G51*GenAssumptions!$B$10,0)</f>
        <v>0</v>
      </c>
      <c r="K51" s="391">
        <f>G51*GenAssumptions!$E$16</f>
        <v>0</v>
      </c>
    </row>
    <row r="52" spans="1:14" ht="18.95" hidden="1" customHeight="1" outlineLevel="1" x14ac:dyDescent="0.25">
      <c r="A52" s="62" t="s">
        <v>190</v>
      </c>
      <c r="B52" s="62">
        <v>19</v>
      </c>
      <c r="C52" s="77"/>
      <c r="D52" s="59"/>
      <c r="E52" s="58">
        <f>IF(B52&lt;=$A$30,VLOOKUP(A52,'Services&amp;goods'!$E$4:$W$115,15,0),0)</f>
        <v>0</v>
      </c>
      <c r="F52" s="97">
        <f>IF($B52&lt;=$A$30,VLOOKUP($A52,'Services&amp;goods'!$E$4:$W$115,17,0),0)</f>
        <v>0</v>
      </c>
      <c r="G52" s="98">
        <f>IF($B52&lt;=$A$30,VLOOKUP($A52,'Services&amp;goods'!$E$4:$X$115,20,0),0)</f>
        <v>0</v>
      </c>
      <c r="H52" s="99">
        <f>IF(G52&gt;0,G52/GenAssumptions!$B$11,0)</f>
        <v>0</v>
      </c>
      <c r="I52" s="96">
        <f>IF(G52&gt;0,G52*GenAssumptions!$B$10,0)</f>
        <v>0</v>
      </c>
      <c r="K52" s="391">
        <f>G52*GenAssumptions!$E$16</f>
        <v>0</v>
      </c>
    </row>
    <row r="53" spans="1:14" ht="18.95" hidden="1" customHeight="1" outlineLevel="1" x14ac:dyDescent="0.25">
      <c r="A53" s="62" t="s">
        <v>191</v>
      </c>
      <c r="B53" s="62">
        <v>20</v>
      </c>
      <c r="C53" s="77"/>
      <c r="D53" s="59"/>
      <c r="E53" s="58">
        <f>IF(B53&lt;=$A$30,VLOOKUP(A53,'Services&amp;goods'!$E$4:$W$115,15,0),0)</f>
        <v>0</v>
      </c>
      <c r="F53" s="97">
        <f>IF($B53&lt;=$A$30,VLOOKUP($A53,'Services&amp;goods'!$E$4:$W$115,17,0),0)</f>
        <v>0</v>
      </c>
      <c r="G53" s="98">
        <f>IF($B53&lt;=$A$30,VLOOKUP($A53,'Services&amp;goods'!$E$4:$X$115,20,0),0)</f>
        <v>0</v>
      </c>
      <c r="H53" s="99">
        <f>IF(G53&gt;0,G53/GenAssumptions!$B$11,0)</f>
        <v>0</v>
      </c>
      <c r="I53" s="96">
        <f>IF(G53&gt;0,G53*GenAssumptions!$B$10,0)</f>
        <v>0</v>
      </c>
      <c r="K53" s="391">
        <f>G53*GenAssumptions!$E$16</f>
        <v>0</v>
      </c>
    </row>
    <row r="54" spans="1:14" ht="18.95" hidden="1" customHeight="1" outlineLevel="1" x14ac:dyDescent="0.25">
      <c r="A54" s="62" t="s">
        <v>192</v>
      </c>
      <c r="B54" s="62">
        <v>21</v>
      </c>
      <c r="C54" s="77"/>
      <c r="D54" s="59"/>
      <c r="E54" s="58">
        <f>IF(B54&lt;=$A$30,VLOOKUP(A54,'Services&amp;goods'!$E$4:$W$115,15,0),0)</f>
        <v>0</v>
      </c>
      <c r="F54" s="97">
        <f>IF($B54&lt;=$A$30,VLOOKUP($A54,'Services&amp;goods'!$E$4:$W$115,17,0),0)</f>
        <v>0</v>
      </c>
      <c r="G54" s="98">
        <f>IF($B54&lt;=$A$30,VLOOKUP($A54,'Services&amp;goods'!$E$4:$X$115,20,0),0)</f>
        <v>0</v>
      </c>
      <c r="H54" s="99">
        <f>IF(G54&gt;0,G54/GenAssumptions!$B$11,0)</f>
        <v>0</v>
      </c>
      <c r="I54" s="96">
        <f>IF(G54&gt;0,G54*GenAssumptions!$B$10,0)</f>
        <v>0</v>
      </c>
      <c r="K54" s="391">
        <f>G54*GenAssumptions!$E$16</f>
        <v>0</v>
      </c>
    </row>
    <row r="55" spans="1:14" ht="18.95" hidden="1" customHeight="1" outlineLevel="1" x14ac:dyDescent="0.25">
      <c r="A55" s="62" t="s">
        <v>193</v>
      </c>
      <c r="B55" s="62">
        <v>22</v>
      </c>
      <c r="C55" s="77"/>
      <c r="D55" s="59"/>
      <c r="E55" s="58">
        <f>IF(B55&lt;=$A$30,VLOOKUP(A55,'Services&amp;goods'!$E$4:$W$115,15,0),0)</f>
        <v>0</v>
      </c>
      <c r="F55" s="97">
        <f>IF($B55&lt;=$A$30,VLOOKUP($A55,'Services&amp;goods'!$E$4:$W$115,17,0),0)</f>
        <v>0</v>
      </c>
      <c r="G55" s="98">
        <f>IF($B55&lt;=$A$30,VLOOKUP($A55,'Services&amp;goods'!$E$4:$X$115,20,0),0)</f>
        <v>0</v>
      </c>
      <c r="H55" s="99">
        <f>IF(G55&gt;0,G55/GenAssumptions!$B$11,0)</f>
        <v>0</v>
      </c>
      <c r="I55" s="96">
        <f>IF(G55&gt;0,G55*GenAssumptions!$B$10,0)</f>
        <v>0</v>
      </c>
      <c r="K55" s="391">
        <f>G55*GenAssumptions!$E$16</f>
        <v>0</v>
      </c>
    </row>
    <row r="56" spans="1:14" ht="18.95" hidden="1" customHeight="1" outlineLevel="1" x14ac:dyDescent="0.25">
      <c r="A56" s="62" t="s">
        <v>194</v>
      </c>
      <c r="B56" s="62">
        <v>23</v>
      </c>
      <c r="C56" s="77"/>
      <c r="D56" s="59"/>
      <c r="E56" s="58">
        <f>IF(B56&lt;=$A$30,VLOOKUP(A56,'Services&amp;goods'!$E$4:$W$115,15,0),0)</f>
        <v>0</v>
      </c>
      <c r="F56" s="97">
        <f>IF($B56&lt;=$A$30,VLOOKUP($A56,'Services&amp;goods'!$E$4:$W$115,17,0),0)</f>
        <v>0</v>
      </c>
      <c r="G56" s="98">
        <f>IF($B56&lt;=$A$30,VLOOKUP($A56,'Services&amp;goods'!$E$4:$X$115,20,0),0)</f>
        <v>0</v>
      </c>
      <c r="H56" s="99">
        <f>IF(G56&gt;0,G56/GenAssumptions!$B$11,0)</f>
        <v>0</v>
      </c>
      <c r="I56" s="96">
        <f>IF(G56&gt;0,G56*GenAssumptions!$B$10,0)</f>
        <v>0</v>
      </c>
      <c r="K56" s="391">
        <f>G56*GenAssumptions!$E$16</f>
        <v>0</v>
      </c>
    </row>
    <row r="57" spans="1:14" ht="18.95" hidden="1" customHeight="1" outlineLevel="1" x14ac:dyDescent="0.25">
      <c r="A57" s="62" t="s">
        <v>195</v>
      </c>
      <c r="B57" s="62">
        <v>24</v>
      </c>
      <c r="C57" s="77"/>
      <c r="D57" s="59"/>
      <c r="E57" s="58">
        <f>IF(B57&lt;=$A$30,VLOOKUP(A57,'Services&amp;goods'!$E$4:$W$115,15,0),0)</f>
        <v>0</v>
      </c>
      <c r="F57" s="97">
        <f>IF($B57&lt;=$A$30,VLOOKUP($A57,'Services&amp;goods'!$E$4:$W$115,17,0),0)</f>
        <v>0</v>
      </c>
      <c r="G57" s="98">
        <f>IF($B57&lt;=$A$30,VLOOKUP($A57,'Services&amp;goods'!$E$4:$X$115,20,0),0)</f>
        <v>0</v>
      </c>
      <c r="H57" s="99">
        <f>IF(G57&gt;0,G57/GenAssumptions!$B$11,0)</f>
        <v>0</v>
      </c>
      <c r="I57" s="96">
        <f>IF(G57&gt;0,G57*GenAssumptions!$B$10,0)</f>
        <v>0</v>
      </c>
      <c r="K57" s="391">
        <f>G57*GenAssumptions!$E$16</f>
        <v>0</v>
      </c>
    </row>
    <row r="58" spans="1:14" ht="18.95" hidden="1" customHeight="1" outlineLevel="1" x14ac:dyDescent="0.25">
      <c r="A58" s="62" t="s">
        <v>264</v>
      </c>
      <c r="B58" s="62">
        <v>25</v>
      </c>
      <c r="C58" s="77"/>
      <c r="D58" s="59"/>
      <c r="E58" s="58">
        <f>IF(B58&lt;=$A$30,VLOOKUP(A58,'Services&amp;goods'!$E$4:$W$115,15,0),0)</f>
        <v>0</v>
      </c>
      <c r="F58" s="97">
        <f>IF($B58&lt;=$A$30,VLOOKUP($A58,'Services&amp;goods'!$E$4:$W$115,17,0),0)</f>
        <v>0</v>
      </c>
      <c r="G58" s="98">
        <f>IF($B58&lt;=$A$30,VLOOKUP($A58,'Services&amp;goods'!$E$4:$X$115,20,0),0)</f>
        <v>0</v>
      </c>
      <c r="H58" s="99">
        <f>IF(G58&gt;0,G58/GenAssumptions!$B$11,0)</f>
        <v>0</v>
      </c>
      <c r="I58" s="96">
        <f>IF(G58&gt;0,G58*GenAssumptions!$B$10,0)</f>
        <v>0</v>
      </c>
      <c r="K58" s="391">
        <f>G58*GenAssumptions!$E$16</f>
        <v>0</v>
      </c>
    </row>
    <row r="59" spans="1:14" ht="23.25" collapsed="1" x14ac:dyDescent="0.25">
      <c r="C59" s="104">
        <v>3</v>
      </c>
      <c r="D59" s="104" t="s">
        <v>200</v>
      </c>
      <c r="E59" s="105"/>
      <c r="F59" s="106">
        <f>GenAssumptions!$E$17</f>
        <v>0.05</v>
      </c>
      <c r="G59" s="107">
        <f>G28*F59</f>
        <v>2.68</v>
      </c>
      <c r="H59" s="108">
        <f>G59/GenAssumptions!$B$11</f>
        <v>2</v>
      </c>
      <c r="I59" s="109">
        <f>I28*F59</f>
        <v>340.83300000000003</v>
      </c>
      <c r="K59" s="395">
        <f>I59*GenAssumptions!$E$16</f>
        <v>340833</v>
      </c>
    </row>
    <row r="60" spans="1:14" ht="16.5" x14ac:dyDescent="0.25">
      <c r="C60" s="77"/>
      <c r="D60" s="59"/>
      <c r="E60" s="58"/>
      <c r="F60" s="100"/>
      <c r="G60" s="101"/>
      <c r="H60" s="102"/>
      <c r="I60" s="101"/>
      <c r="K60" s="391">
        <f>G60*GenAssumptions!$E$16</f>
        <v>0</v>
      </c>
    </row>
    <row r="61" spans="1:14" ht="60" customHeight="1" x14ac:dyDescent="0.25">
      <c r="C61" s="104">
        <v>4</v>
      </c>
      <c r="D61" s="408" t="s">
        <v>318</v>
      </c>
      <c r="E61" s="408"/>
      <c r="F61" s="106">
        <f>G61/G7</f>
        <v>4.0323643746616131</v>
      </c>
      <c r="G61" s="111">
        <f>'Support and Dev.'!P6/GenAssumptions!$E$16</f>
        <v>74.477769999999992</v>
      </c>
      <c r="H61" s="108">
        <f>G61/GenAssumptions!$B$11</f>
        <v>55.580425373134318</v>
      </c>
      <c r="I61" s="109">
        <f>G61*GenAssumptions!$B$10</f>
        <v>5213.4438999999993</v>
      </c>
      <c r="K61" s="391">
        <f>G61*GenAssumptions!$E$16</f>
        <v>74477.76999999999</v>
      </c>
    </row>
    <row r="62" spans="1:14" s="80" customFormat="1" ht="21" x14ac:dyDescent="0.25">
      <c r="A62" s="79"/>
      <c r="B62" s="79"/>
      <c r="C62" s="62"/>
      <c r="D62" s="66"/>
      <c r="E62" s="85" t="str">
        <f>'Support and Dev.'!H7</f>
        <v>Оплата труда руководящего и административного персонала</v>
      </c>
      <c r="F62" s="103"/>
      <c r="G62" s="87">
        <f>SUM('Support and Dev.'!P8:P15)/GenAssumptions!$E$16</f>
        <v>24.720260000000003</v>
      </c>
      <c r="H62" s="99">
        <f>IF(G62&gt;0,G62/GenAssumptions!$B$11,0)</f>
        <v>18.447955223880598</v>
      </c>
      <c r="I62" s="96">
        <f>IF(G62&gt;0,G62*GenAssumptions!$B$10,0)</f>
        <v>1730.4182000000003</v>
      </c>
      <c r="K62" s="391">
        <f>G62*GenAssumptions!$E$16</f>
        <v>24720.260000000002</v>
      </c>
      <c r="L62" s="391">
        <f>K62+K7</f>
        <v>43190.26</v>
      </c>
      <c r="M62" s="391">
        <f>SUM('Budget for NGO'!H9:H18)</f>
        <v>43204.811966543413</v>
      </c>
      <c r="N62" s="383">
        <f>L62-M62</f>
        <v>-14.551966543411254</v>
      </c>
    </row>
    <row r="63" spans="1:14" ht="15.75" x14ac:dyDescent="0.25">
      <c r="E63" s="85" t="str">
        <f>'Support and Dev.'!H16</f>
        <v>Обеспечение работы мобильной амбулатории</v>
      </c>
      <c r="F63" s="85"/>
      <c r="G63" s="87">
        <f>SUM('Support and Dev.'!P17:P23)/GenAssumptions!$E$16</f>
        <v>34.106070000000003</v>
      </c>
      <c r="H63" s="99">
        <f>IF(G63&gt;0,G63/GenAssumptions!$B$11,0)</f>
        <v>25.452291044776121</v>
      </c>
      <c r="I63" s="96">
        <f>IF(G63&gt;0,G63*GenAssumptions!$B$10,0)</f>
        <v>2387.4249</v>
      </c>
      <c r="K63" s="391">
        <f>G63*GenAssumptions!$E$16</f>
        <v>34106.07</v>
      </c>
    </row>
    <row r="64" spans="1:14" ht="15.75" x14ac:dyDescent="0.25">
      <c r="E64" s="85" t="str">
        <f>'Support and Dev.'!H24</f>
        <v>Содержание офиса</v>
      </c>
      <c r="F64" s="85"/>
      <c r="G64" s="87">
        <f>SUM('Support and Dev.'!P25:P38)/GenAssumptions!$E$16</f>
        <v>15.651439999999999</v>
      </c>
      <c r="H64" s="99">
        <f>IF(G64&gt;0,G64/GenAssumptions!$B$11,0)</f>
        <v>11.680179104477611</v>
      </c>
      <c r="I64" s="96">
        <f>IF(G64&gt;0,G64*GenAssumptions!$B$10,0)</f>
        <v>1095.6007999999999</v>
      </c>
      <c r="K64" s="391">
        <f>G64*GenAssumptions!$E$16</f>
        <v>15651.439999999999</v>
      </c>
    </row>
    <row r="65" spans="6:9" x14ac:dyDescent="0.25">
      <c r="F65" s="85"/>
      <c r="G65" s="87"/>
      <c r="I65" s="87"/>
    </row>
    <row r="66" spans="6:9" x14ac:dyDescent="0.25">
      <c r="F66" s="85"/>
      <c r="G66" s="87"/>
      <c r="I66" s="87"/>
    </row>
    <row r="67" spans="6:9" x14ac:dyDescent="0.25">
      <c r="F67" s="85"/>
      <c r="G67" s="87"/>
      <c r="I67" s="87"/>
    </row>
    <row r="68" spans="6:9" x14ac:dyDescent="0.25">
      <c r="F68" s="85"/>
      <c r="G68" s="87"/>
      <c r="I68" s="87"/>
    </row>
    <row r="69" spans="6:9" x14ac:dyDescent="0.25">
      <c r="F69" s="85"/>
      <c r="G69" s="87"/>
      <c r="I69" s="87"/>
    </row>
    <row r="70" spans="6:9" x14ac:dyDescent="0.25">
      <c r="F70" s="85"/>
      <c r="G70" s="87"/>
      <c r="I70" s="87"/>
    </row>
    <row r="71" spans="6:9" x14ac:dyDescent="0.25">
      <c r="F71" s="85"/>
      <c r="G71" s="87"/>
      <c r="I71" s="87"/>
    </row>
  </sheetData>
  <sheetProtection algorithmName="SHA-512" hashValue="AWqhNtQ2IiLrtXM9RCI2dekYIRvc1VQfM0g3SQ/aIbMn3L4qp9xhR08w+ciaew2HU/XbO4Yi4L/B6JtPC5FuwQ==" saltValue="QZIc32T8gmQiZNO9UR1vCQ==" spinCount="100000" sheet="1" formatCells="0" formatColumns="0" formatRows="0" deleteColumns="0" deleteRows="0" autoFilter="0"/>
  <mergeCells count="5">
    <mergeCell ref="D2:F2"/>
    <mergeCell ref="D61:E61"/>
    <mergeCell ref="D5:F5"/>
    <mergeCell ref="G10:I10"/>
    <mergeCell ref="G31:I31"/>
  </mergeCells>
  <pageMargins left="0.7" right="0.7" top="0.75" bottom="0.75" header="0.3" footer="0.3"/>
  <pageSetup paperSize="9" scale="5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A1:P69"/>
  <sheetViews>
    <sheetView showZeros="0" zoomScale="85" zoomScaleNormal="85" zoomScaleSheetLayoutView="85" workbookViewId="0">
      <pane xSplit="3" ySplit="2" topLeftCell="D3" activePane="bottomRight" state="frozen"/>
      <selection activeCell="C1" sqref="C1"/>
      <selection pane="topRight" activeCell="D1" sqref="D1"/>
      <selection pane="bottomLeft" activeCell="C3" sqref="C3"/>
      <selection pane="bottomRight" activeCell="E15" sqref="E15"/>
    </sheetView>
  </sheetViews>
  <sheetFormatPr defaultColWidth="8.85546875" defaultRowHeight="16.5" outlineLevelRow="1" outlineLevelCol="1" x14ac:dyDescent="0.25"/>
  <cols>
    <col min="1" max="1" width="9.140625" style="77" hidden="1" customWidth="1" outlineLevel="1"/>
    <col min="2" max="2" width="6" style="77" hidden="1" customWidth="1" outlineLevel="1"/>
    <col min="3" max="3" width="6" style="77" customWidth="1" collapsed="1"/>
    <col min="4" max="4" width="5.42578125" style="59" customWidth="1"/>
    <col min="5" max="5" width="64.42578125" style="58" customWidth="1"/>
    <col min="6" max="6" width="20.42578125" style="59" customWidth="1"/>
    <col min="7" max="7" width="23.7109375" style="59" customWidth="1"/>
    <col min="8" max="9" width="22.42578125" style="59" hidden="1" customWidth="1" outlineLevel="1"/>
    <col min="10" max="10" width="21.140625" style="60" hidden="1" customWidth="1" outlineLevel="1"/>
    <col min="11" max="11" width="20.28515625" style="59" bestFit="1" customWidth="1" collapsed="1"/>
    <col min="12" max="12" width="8.85546875" style="59"/>
    <col min="13" max="13" width="19.42578125" style="59" bestFit="1" customWidth="1"/>
    <col min="14" max="15" width="24.85546875" style="59" hidden="1" customWidth="1" outlineLevel="1"/>
    <col min="16" max="16" width="8.85546875" style="59" collapsed="1"/>
    <col min="17" max="16384" width="8.85546875" style="59"/>
  </cols>
  <sheetData>
    <row r="1" spans="1:15" ht="18.95" customHeight="1" x14ac:dyDescent="0.25">
      <c r="C1" s="176"/>
      <c r="D1" s="227" t="s">
        <v>362</v>
      </c>
      <c r="E1" s="178"/>
      <c r="F1" s="177"/>
      <c r="G1" s="177"/>
      <c r="H1" s="179" t="str">
        <f>GenAssumptions!$B$9</f>
        <v>USD</v>
      </c>
      <c r="I1" s="179" t="s">
        <v>145</v>
      </c>
      <c r="J1" s="180" t="s">
        <v>144</v>
      </c>
      <c r="K1" s="179" t="str">
        <f>GenAssumptions!B8</f>
        <v>RUB</v>
      </c>
      <c r="N1" s="294">
        <f>('Services&amp;goods'!P6+'Services&amp;goods'!X6+'Services&amp;goods'!P30+'Services&amp;goods'!X30+'Services&amp;goods'!X55)*GenAssumptions!$E$16+'Support and Dev.'!P6</f>
        <v>149227.76999999999</v>
      </c>
      <c r="O1" s="295">
        <f>N1-I2</f>
        <v>65.639999999984866</v>
      </c>
    </row>
    <row r="2" spans="1:15" s="127" customFormat="1" ht="55.5" customHeight="1" x14ac:dyDescent="0.25">
      <c r="A2" s="73"/>
      <c r="B2" s="73"/>
      <c r="C2" s="181"/>
      <c r="D2" s="225" t="s">
        <v>299</v>
      </c>
      <c r="E2" s="182"/>
      <c r="F2" s="182"/>
      <c r="G2" s="182"/>
      <c r="H2" s="183">
        <f>H5+H22+H51</f>
        <v>149162.11532782912</v>
      </c>
      <c r="I2" s="183">
        <f>I5+I22+I51</f>
        <v>149162.13</v>
      </c>
      <c r="J2" s="184">
        <f>J5+J22+J51</f>
        <v>111315.0223880597</v>
      </c>
      <c r="K2" s="185">
        <f>K5+K22+K51</f>
        <v>10441348.072948039</v>
      </c>
      <c r="M2" s="128"/>
      <c r="N2" s="371">
        <f>I2/GenAssumptions!E16</f>
        <v>149.16212999999999</v>
      </c>
      <c r="O2" s="127">
        <f>K2/GenAssumptions!E16</f>
        <v>10441.348072948038</v>
      </c>
    </row>
    <row r="3" spans="1:15" s="127" customFormat="1" ht="15.75" customHeight="1" x14ac:dyDescent="0.25">
      <c r="A3" s="73"/>
      <c r="B3" s="73"/>
      <c r="C3" s="73"/>
      <c r="D3" s="129"/>
      <c r="E3" s="130"/>
      <c r="F3" s="131"/>
      <c r="G3" s="131"/>
      <c r="H3" s="132"/>
      <c r="I3" s="132"/>
      <c r="J3" s="133"/>
      <c r="K3" s="132"/>
      <c r="O3" s="371">
        <f>I2*GenAssumptions!B10</f>
        <v>10441349.1</v>
      </c>
    </row>
    <row r="5" spans="1:15" s="135" customFormat="1" ht="20.25" x14ac:dyDescent="0.25">
      <c r="A5" s="134"/>
      <c r="B5" s="134"/>
      <c r="C5" s="186">
        <v>1</v>
      </c>
      <c r="D5" s="223" t="s">
        <v>269</v>
      </c>
      <c r="E5" s="187"/>
      <c r="F5" s="188"/>
      <c r="G5" s="188"/>
      <c r="H5" s="189">
        <f>SUM(H9:H21)</f>
        <v>59996.583395114838</v>
      </c>
      <c r="I5" s="189">
        <f>SUM(I9:I21)</f>
        <v>59996.59</v>
      </c>
      <c r="J5" s="190">
        <f>I5/GenAssumptions!$B$11</f>
        <v>44773.574626865666</v>
      </c>
      <c r="K5" s="191">
        <f>SUM(K8:K20)</f>
        <v>4199760.8376580393</v>
      </c>
      <c r="N5" s="135">
        <f>('Services&amp;goods'!P6+'Services&amp;goods'!P30)*GenAssumptions!$E$16+'Support and Dev.'!P13+'Support and Dev.'!P14</f>
        <v>18470</v>
      </c>
      <c r="O5" s="297">
        <f>SUM(I9:I15)</f>
        <v>18484.550000000003</v>
      </c>
    </row>
    <row r="7" spans="1:15" ht="33" x14ac:dyDescent="0.25">
      <c r="D7" s="81"/>
      <c r="E7" s="82" t="s">
        <v>17</v>
      </c>
      <c r="F7" s="83" t="s">
        <v>257</v>
      </c>
      <c r="G7" s="83" t="str">
        <f>"Оплата за полный месяц, "&amp;GenAssumptions!$B$8</f>
        <v>Оплата за полный месяц, RUB</v>
      </c>
      <c r="H7" s="83" t="str">
        <f>"Общая стоимость, "&amp;GenAssumptions!$B$9</f>
        <v>Общая стоимость, USD</v>
      </c>
      <c r="I7" s="83" t="s">
        <v>258</v>
      </c>
      <c r="J7" s="83" t="s">
        <v>259</v>
      </c>
      <c r="K7" s="83" t="s">
        <v>356</v>
      </c>
      <c r="N7" s="59">
        <f>Summary!K7+Summary!K62</f>
        <v>43190.26</v>
      </c>
      <c r="O7" s="393">
        <f>N7-H5</f>
        <v>-16806.323395114836</v>
      </c>
    </row>
    <row r="9" spans="1:15" ht="18" customHeight="1" x14ac:dyDescent="0.25">
      <c r="D9" s="59">
        <v>1</v>
      </c>
      <c r="E9" s="58" t="str">
        <f>GenAssumptions!C21</f>
        <v>Социальный работник</v>
      </c>
      <c r="F9" s="123">
        <f>ROUND((SUMIFS('Services&amp;goods'!$N$4:$N$54,'Services&amp;goods'!$K$4:$K$54,$E9)/60*GenAssumptions!$E$16)/(251*8),10)</f>
        <v>1.8882802125</v>
      </c>
      <c r="G9" s="59">
        <f>SUMIFS(GenAssumptions!$D$21:$D$34,GenAssumptions!$C$21:$C$34,$E9)</f>
        <v>38069</v>
      </c>
      <c r="H9" s="124">
        <f>F9*12*G9/GenAssumptions!$B$10</f>
        <v>12323.132470227858</v>
      </c>
      <c r="I9" s="124">
        <f>ROUND(IF($I$1="USD",H9,IF($H$1="EUR",H9*GenAssumptions!$B$11,IF($H$1=$K$1,H9/GenAssumptions!$B$10,"ошибка в заполнении блока Курсы валют"))),2)</f>
        <v>12323.13</v>
      </c>
      <c r="J9" s="125">
        <f>IF(I9&gt;0,I9/GenAssumptions!$B$11,0)</f>
        <v>9196.36567164179</v>
      </c>
      <c r="K9" s="126">
        <f>F9*12*G9</f>
        <v>862619.27291595004</v>
      </c>
    </row>
    <row r="10" spans="1:15" ht="18" customHeight="1" x14ac:dyDescent="0.25">
      <c r="D10" s="59">
        <v>2</v>
      </c>
      <c r="E10" s="58" t="str">
        <f>GenAssumptions!C22</f>
        <v>Кейс-менеджер</v>
      </c>
      <c r="F10" s="123">
        <f>ROUND((SUMIFS('Services&amp;goods'!$N$4:$N$54,'Services&amp;goods'!$K$4:$K$54,$E10)/60*GenAssumptions!$E$16)/(251*8),10)</f>
        <v>0.51684926959999999</v>
      </c>
      <c r="G10" s="59">
        <f>SUMIFS(GenAssumptions!$D$21:$D$34,GenAssumptions!$C$21:$C$34,$E10)</f>
        <v>38069</v>
      </c>
      <c r="H10" s="124">
        <f>F10*12*G10/GenAssumptions!$B$10</f>
        <v>3373.0174018975545</v>
      </c>
      <c r="I10" s="124">
        <f>ROUND(IF($I$1="USD",H10,IF($H$1="EUR",H10*GenAssumptions!$B$11,IF($H$1=$K$1,H10/GenAssumptions!$B$10,"ошибка в заполнении блока Курсы валют"))),2)</f>
        <v>3373.02</v>
      </c>
      <c r="J10" s="125">
        <f>IF(I10&gt;0,I10/GenAssumptions!$B$11,0)</f>
        <v>2517.1791044776119</v>
      </c>
      <c r="K10" s="126">
        <f>F10*12*G10</f>
        <v>236111.2181328288</v>
      </c>
    </row>
    <row r="11" spans="1:15" ht="18" customHeight="1" x14ac:dyDescent="0.25">
      <c r="D11" s="59">
        <v>3</v>
      </c>
      <c r="E11" s="58" t="str">
        <f>GenAssumptions!C23</f>
        <v>Врач</v>
      </c>
      <c r="F11" s="123">
        <f>ROUND((SUMIFS('Services&amp;goods'!$N$4:$N$54,'Services&amp;goods'!$K$4:$K$54,$E11)/60*GenAssumptions!$E$16)/(251*8),10)</f>
        <v>0</v>
      </c>
      <c r="G11" s="59">
        <f>SUMIFS(GenAssumptions!$D$21:$D$34,GenAssumptions!$C$21:$C$34,$E11)</f>
        <v>0</v>
      </c>
      <c r="H11" s="124">
        <f>F11*12*G11/GenAssumptions!$B$10</f>
        <v>0</v>
      </c>
      <c r="I11" s="124">
        <f>ROUND(IF($I$1="USD",H11,IF($H$1="EUR",H11*GenAssumptions!$B$11,IF($H$1=$K$1,H11/GenAssumptions!$B$10,"ошибка в заполнении блока Курсы валют"))),2)</f>
        <v>0</v>
      </c>
      <c r="J11" s="125">
        <f>IF(I11&gt;0,I11/GenAssumptions!$B$11,0)</f>
        <v>0</v>
      </c>
      <c r="K11" s="126">
        <f t="shared" ref="K11:K20" si="0">F11*12*G11</f>
        <v>0</v>
      </c>
    </row>
    <row r="12" spans="1:15" ht="18" customHeight="1" x14ac:dyDescent="0.25">
      <c r="D12" s="59">
        <v>4</v>
      </c>
      <c r="E12" s="58" t="str">
        <f>GenAssumptions!C24</f>
        <v>Медсестра</v>
      </c>
      <c r="F12" s="123">
        <f>ROUND((SUMIFS('Services&amp;goods'!$N$4:$N$54,'Services&amp;goods'!$K$4:$K$54,$E12)/60*GenAssumptions!$E$16)/(251*8),10)</f>
        <v>0.12450199200000001</v>
      </c>
      <c r="G12" s="59">
        <f>SUMIFS(GenAssumptions!$D$21:$D$34,GenAssumptions!$C$21:$C$34,$E12)</f>
        <v>38069</v>
      </c>
      <c r="H12" s="124">
        <f>F12*12*G12/GenAssumptions!$B$10</f>
        <v>812.51422859108573</v>
      </c>
      <c r="I12" s="124">
        <f>ROUND(IF($I$1="USD",H12,IF($H$1="EUR",H12*GenAssumptions!$B$11,IF($H$1=$K$1,H12/GenAssumptions!$B$10,"ошибка в заполнении блока Курсы валют"))),2)</f>
        <v>812.51</v>
      </c>
      <c r="J12" s="125">
        <f>IF(I12&gt;0,I12/GenAssumptions!$B$11,0)</f>
        <v>606.35074626865662</v>
      </c>
      <c r="K12" s="126">
        <f t="shared" si="0"/>
        <v>56875.996001375999</v>
      </c>
    </row>
    <row r="13" spans="1:15" ht="18" customHeight="1" x14ac:dyDescent="0.25">
      <c r="D13" s="59">
        <v>5</v>
      </c>
      <c r="E13" s="58" t="str">
        <f>GenAssumptions!C25</f>
        <v>Психолог</v>
      </c>
      <c r="F13" s="123">
        <f>ROUND((SUMIFS('Services&amp;goods'!$N$4:$N$54,'Services&amp;goods'!$K$4:$K$54,$E13)/60*GenAssumptions!$E$16)/(251*8),10)</f>
        <v>3.3200531200000001E-2</v>
      </c>
      <c r="G13" s="59">
        <f>SUMIFS(GenAssumptions!$D$21:$D$34,GenAssumptions!$C$21:$C$34,$E13)</f>
        <v>25000</v>
      </c>
      <c r="H13" s="124">
        <f>F13*12*G13/GenAssumptions!$B$10</f>
        <v>142.28799085714289</v>
      </c>
      <c r="I13" s="124">
        <f>ROUND(IF($I$1="USD",H13,IF($H$1="EUR",H13*GenAssumptions!$B$11,IF($H$1=$K$1,H13/GenAssumptions!$B$10,"ошибка в заполнении блока Курсы валют"))),2)</f>
        <v>142.29</v>
      </c>
      <c r="J13" s="125">
        <f>IF(I13&gt;0,I13/GenAssumptions!$B$11,0)</f>
        <v>106.1865671641791</v>
      </c>
      <c r="K13" s="126">
        <f t="shared" si="0"/>
        <v>9960.1593600000015</v>
      </c>
      <c r="O13" s="146"/>
    </row>
    <row r="14" spans="1:15" ht="18" customHeight="1" x14ac:dyDescent="0.25">
      <c r="D14" s="59">
        <v>6</v>
      </c>
      <c r="E14" s="58" t="str">
        <f>GenAssumptions!C26</f>
        <v>Юрист</v>
      </c>
      <c r="F14" s="123">
        <f>ROUND((SUMIFS('Services&amp;goods'!$N$4:$N$54,'Services&amp;goods'!$K$4:$K$54,$E14)/60*GenAssumptions!$E$16)/(251*8),10)</f>
        <v>0.12450199200000001</v>
      </c>
      <c r="G14" s="59">
        <f>SUMIFS(GenAssumptions!$D$21:$D$34,GenAssumptions!$C$21:$C$34,$E14)</f>
        <v>25000</v>
      </c>
      <c r="H14" s="124">
        <f>F14*12*G14/GenAssumptions!$B$10</f>
        <v>533.57996571428578</v>
      </c>
      <c r="I14" s="124">
        <f>ROUND(IF($I$1="USD",H14,IF($H$1="EUR",H14*GenAssumptions!$B$11,IF($H$1=$K$1,H14/GenAssumptions!$B$10,"ошибка в заполнении блока Курсы валют"))),2)</f>
        <v>533.58000000000004</v>
      </c>
      <c r="J14" s="125">
        <f>IF(I14&gt;0,I14/GenAssumptions!$B$11,0)</f>
        <v>398.19402985074629</v>
      </c>
      <c r="K14" s="126">
        <f t="shared" si="0"/>
        <v>37350.597600000001</v>
      </c>
    </row>
    <row r="15" spans="1:15" ht="18" customHeight="1" x14ac:dyDescent="0.25">
      <c r="D15" s="59">
        <v>7</v>
      </c>
      <c r="E15" s="58" t="str">
        <f>GenAssumptions!C27</f>
        <v>Консультант ДКТ</v>
      </c>
      <c r="F15" s="123">
        <f>ROUND((SUMIFS('Services&amp;goods'!$N$4:$N$54,'Services&amp;goods'!$K$4:$K$54,$E15)/60*GenAssumptions!$E$16)/(251*8),10)</f>
        <v>0.1992031873</v>
      </c>
      <c r="G15" s="59">
        <f>SUMIFS(GenAssumptions!$D$21:$D$34,GenAssumptions!$C$21:$C$34,$E15)</f>
        <v>38069</v>
      </c>
      <c r="H15" s="124">
        <f>F15*12*G15/GenAssumptions!$B$10</f>
        <v>1300.0227663983487</v>
      </c>
      <c r="I15" s="124">
        <f>ROUND(IF($I$1="USD",H15,IF($H$1="EUR",H15*GenAssumptions!$B$11,IF($H$1=$K$1,H15/GenAssumptions!$B$10,"ошибка в заполнении блока Курсы валют"))),2)</f>
        <v>1300.02</v>
      </c>
      <c r="J15" s="125">
        <f>IF(I15&gt;0,I15/GenAssumptions!$B$11,0)</f>
        <v>970.16417910447751</v>
      </c>
      <c r="K15" s="126">
        <f t="shared" si="0"/>
        <v>91001.593647884409</v>
      </c>
    </row>
    <row r="16" spans="1:15" ht="18" customHeight="1" x14ac:dyDescent="0.25">
      <c r="D16" s="59">
        <v>8</v>
      </c>
      <c r="E16" s="58" t="str">
        <f>'Support and Dev.'!K8</f>
        <v>Менеджер проекта</v>
      </c>
      <c r="F16" s="59">
        <f>'Support and Dev.'!L8/12</f>
        <v>1</v>
      </c>
      <c r="G16" s="59">
        <f>SUMIFS(GenAssumptions!$D$21:$D$34,GenAssumptions!$C$21:$C$34,$E16)</f>
        <v>87045</v>
      </c>
      <c r="H16" s="124">
        <f>F16*12*G16/GenAssumptions!$B$10</f>
        <v>14922</v>
      </c>
      <c r="I16" s="124">
        <f>ROUND(IF($I$1="USD",H16,IF($H$1="EUR",H16*GenAssumptions!$B$11,IF($H$1=$K$1,H16/GenAssumptions!$B$10,"ошибка в заполнении блока Курсы валют"))),2)</f>
        <v>14922</v>
      </c>
      <c r="J16" s="125">
        <f>IF(I16&gt;0,I16/GenAssumptions!$B$11,0)</f>
        <v>11135.820895522387</v>
      </c>
      <c r="K16" s="126">
        <f t="shared" si="0"/>
        <v>1044540</v>
      </c>
    </row>
    <row r="17" spans="1:15" ht="18" customHeight="1" x14ac:dyDescent="0.25">
      <c r="D17" s="59">
        <v>9</v>
      </c>
      <c r="E17" s="58" t="str">
        <f>'Support and Dev.'!K9</f>
        <v>Специалист по документации</v>
      </c>
      <c r="F17" s="59">
        <f>'Support and Dev.'!L9/12</f>
        <v>1</v>
      </c>
      <c r="G17" s="59">
        <f>SUMIFS(GenAssumptions!$D$21:$D$34,GenAssumptions!$C$21:$C$34,$E17)</f>
        <v>43558</v>
      </c>
      <c r="H17" s="124">
        <f>F17*12*G17/GenAssumptions!$B$10</f>
        <v>7467.0857142857139</v>
      </c>
      <c r="I17" s="124">
        <f>ROUND(IF($I$1="USD",H17,IF($H$1="EUR",H17*GenAssumptions!$B$11,IF($H$1=$K$1,H17/GenAssumptions!$B$10,"ошибка в заполнении блока Курсы валют"))),2)</f>
        <v>7467.09</v>
      </c>
      <c r="J17" s="125">
        <f>IF(I17&gt;0,I17/GenAssumptions!$B$11,0)</f>
        <v>5572.4552238805963</v>
      </c>
      <c r="K17" s="126">
        <f t="shared" si="0"/>
        <v>522696</v>
      </c>
    </row>
    <row r="18" spans="1:15" ht="18" customHeight="1" x14ac:dyDescent="0.25">
      <c r="D18" s="59">
        <v>10</v>
      </c>
      <c r="E18" s="58" t="str">
        <f>'Support and Dev.'!K10</f>
        <v>Специалист по финансам</v>
      </c>
      <c r="F18" s="59">
        <f>'Support and Dev.'!L10/12</f>
        <v>0.25</v>
      </c>
      <c r="G18" s="59">
        <f>SUMIFS(GenAssumptions!$D$21:$D$34,GenAssumptions!$C$21:$C$34,$E18)</f>
        <v>54394</v>
      </c>
      <c r="H18" s="124">
        <f>F18*12*G18/GenAssumptions!$B$10</f>
        <v>2331.1714285714284</v>
      </c>
      <c r="I18" s="124">
        <f>ROUND(IF($I$1="USD",H18,IF($H$1="EUR",H18*GenAssumptions!$B$11,IF($H$1=$K$1,H18/GenAssumptions!$B$10,"ошибка в заполнении блока Курсы валют"))),2)</f>
        <v>2331.17</v>
      </c>
      <c r="J18" s="125">
        <f>IF(I18&gt;0,I18/GenAssumptions!$B$11,0)</f>
        <v>1739.6791044776119</v>
      </c>
      <c r="K18" s="126">
        <f t="shared" si="0"/>
        <v>163182</v>
      </c>
    </row>
    <row r="19" spans="1:15" ht="18" customHeight="1" x14ac:dyDescent="0.25">
      <c r="D19" s="59">
        <v>11</v>
      </c>
      <c r="E19" s="58" t="str">
        <f>'Support and Dev.'!H17</f>
        <v>Координаторы мобильных пунктов</v>
      </c>
      <c r="F19" s="59">
        <f>'Support and Dev.'!L17/12</f>
        <v>1</v>
      </c>
      <c r="G19" s="59">
        <f>SUMIFS(GenAssumptions!$D$21:$D$34,GenAssumptions!$C$21:$C$34,$E19)</f>
        <v>54394</v>
      </c>
      <c r="H19" s="124">
        <f>F19*12*G19/GenAssumptions!$B$10</f>
        <v>9324.6857142857134</v>
      </c>
      <c r="I19" s="124">
        <f>ROUND(IF($I$1="USD",H19,IF($H$1="EUR",H19*GenAssumptions!$B$11,IF($H$1=$K$1,H19/GenAssumptions!$B$10,"ошибка в заполнении блока Курсы валют"))),2)</f>
        <v>9324.69</v>
      </c>
      <c r="J19" s="125">
        <f>IF(I19&gt;0,I19/GenAssumptions!$B$11,0)</f>
        <v>6958.7238805970146</v>
      </c>
      <c r="K19" s="126">
        <f t="shared" si="0"/>
        <v>652728</v>
      </c>
    </row>
    <row r="20" spans="1:15" ht="18" customHeight="1" x14ac:dyDescent="0.25">
      <c r="D20" s="59">
        <v>12</v>
      </c>
      <c r="E20" s="58" t="str">
        <f>'Support and Dev.'!H18</f>
        <v>Водитель</v>
      </c>
      <c r="F20" s="59">
        <f>'Support and Dev.'!L18/12</f>
        <v>1</v>
      </c>
      <c r="G20" s="59">
        <f>SUMIFS(GenAssumptions!$D$21:$D$34,GenAssumptions!$C$21:$C$34,$E20)</f>
        <v>43558</v>
      </c>
      <c r="H20" s="124">
        <f>F20*12*G20/GenAssumptions!$B$10</f>
        <v>7467.0857142857139</v>
      </c>
      <c r="I20" s="124">
        <f>ROUND(IF($I$1="USD",H20,IF($H$1="EUR",H20*GenAssumptions!$B$11,IF($H$1=$K$1,H20/GenAssumptions!$B$10,"ошибка в заполнении блока Курсы валют"))),2)</f>
        <v>7467.09</v>
      </c>
      <c r="J20" s="125">
        <f>IF(I20&gt;0,I20/GenAssumptions!$B$11,0)</f>
        <v>5572.4552238805963</v>
      </c>
      <c r="K20" s="126">
        <f t="shared" si="0"/>
        <v>522696</v>
      </c>
    </row>
    <row r="21" spans="1:15" ht="18" customHeight="1" x14ac:dyDescent="0.25">
      <c r="E21" s="58">
        <f>'Support and Dev.'!K19</f>
        <v>0</v>
      </c>
      <c r="G21" s="61"/>
      <c r="H21" s="124"/>
      <c r="I21" s="124"/>
      <c r="J21" s="125"/>
      <c r="K21" s="126"/>
    </row>
    <row r="22" spans="1:15" s="135" customFormat="1" ht="39" customHeight="1" x14ac:dyDescent="0.25">
      <c r="A22" s="134">
        <f>LARGE('Services&amp;goods'!$F$31:$F$115,1)</f>
        <v>6</v>
      </c>
      <c r="B22" s="134"/>
      <c r="C22" s="186">
        <v>2</v>
      </c>
      <c r="D22" s="411" t="s">
        <v>268</v>
      </c>
      <c r="E22" s="411"/>
      <c r="F22" s="411"/>
      <c r="G22" s="411"/>
      <c r="H22" s="189">
        <f>SUM(H25:H50)</f>
        <v>56199.817647000003</v>
      </c>
      <c r="I22" s="189">
        <f>SUM(I25:I50)</f>
        <v>56199.81</v>
      </c>
      <c r="J22" s="190">
        <f>I22/GenAssumptions!$B$11</f>
        <v>41940.156716417907</v>
      </c>
      <c r="K22" s="191">
        <f>SUM(K25:K39)</f>
        <v>3933987.2352900002</v>
      </c>
    </row>
    <row r="23" spans="1:15" x14ac:dyDescent="0.25">
      <c r="N23" s="59">
        <f>('Services&amp;goods'!X6+'Services&amp;goods'!X30+'Services&amp;goods'!X55)*GenAssumptions!$E$16</f>
        <v>56280</v>
      </c>
    </row>
    <row r="24" spans="1:15" ht="56.1" customHeight="1" x14ac:dyDescent="0.25">
      <c r="D24" s="81"/>
      <c r="E24" s="82" t="s">
        <v>118</v>
      </c>
      <c r="F24" s="83" t="s">
        <v>315</v>
      </c>
      <c r="G24" s="83" t="str">
        <f>"Стоимость за единицу (включая логистику и доставку), "&amp;GenAssumptions!$B$8</f>
        <v>Стоимость за единицу (включая логистику и доставку), RUB</v>
      </c>
      <c r="H24" s="83" t="str">
        <f>"Общая стоимость, "&amp;GenAssumptions!$B$9</f>
        <v>Общая стоимость, USD</v>
      </c>
      <c r="I24" s="83" t="s">
        <v>258</v>
      </c>
      <c r="J24" s="83" t="s">
        <v>259</v>
      </c>
      <c r="K24" s="83" t="s">
        <v>356</v>
      </c>
      <c r="N24" s="59">
        <f>Summary!K28+Summary!K59</f>
        <v>394433</v>
      </c>
      <c r="O24" s="393">
        <f>N24-H22</f>
        <v>338233.18235299998</v>
      </c>
    </row>
    <row r="25" spans="1:15" ht="18" customHeight="1" x14ac:dyDescent="0.25">
      <c r="A25" s="77" t="s">
        <v>172</v>
      </c>
      <c r="B25" s="77">
        <v>1</v>
      </c>
      <c r="E25" s="58" t="str">
        <f>IF(B25&lt;=$A$22,VLOOKUP(A25,'Services&amp;goods'!$E$4:$W$115,15,0),0)</f>
        <v>Информационный материал</v>
      </c>
      <c r="F25" s="141">
        <f>IF($B25&lt;=$A$22,VLOOKUP($A25,'Services&amp;goods'!$E$4:$W$115,17,0),0)*GenAssumptions!$E$16</f>
        <v>4000</v>
      </c>
      <c r="G25" s="394">
        <f>SUMIFS(GenAssumptions!$D:$D,GenAssumptions!$C:$C,$E25)*(1+GenAssumptions!$D$17)</f>
        <v>33.953318700000004</v>
      </c>
      <c r="H25" s="143">
        <f>F25*G25/GenAssumptions!$B$10</f>
        <v>1940.1896400000003</v>
      </c>
      <c r="I25" s="143">
        <f>ROUND(IF($I$1="USD",H25,IF($H$1="EUR",H25*GenAssumptions!$B$11,IF($H$1=$K$1,H25/GenAssumptions!$B$10,"ошибка в заполнении блока Курсы валют"))),2)</f>
        <v>1940.19</v>
      </c>
      <c r="J25" s="144">
        <f>IF(I25&gt;0,I25/GenAssumptions!$B$11,0)</f>
        <v>1447.9029850746267</v>
      </c>
      <c r="K25" s="145">
        <f>F25*G25</f>
        <v>135813.27480000001</v>
      </c>
      <c r="M25" s="61"/>
    </row>
    <row r="26" spans="1:15" ht="18" customHeight="1" x14ac:dyDescent="0.25">
      <c r="A26" s="77" t="s">
        <v>173</v>
      </c>
      <c r="B26" s="77">
        <v>2</v>
      </c>
      <c r="E26" s="58" t="str">
        <f>IF(B26&lt;=$A$22,VLOOKUP(A26,'Services&amp;goods'!$E$4:$W$115,15,0),0)</f>
        <v>Шприцы и иглы</v>
      </c>
      <c r="F26" s="141">
        <f>IF($B26&lt;=$A$22,VLOOKUP($A26,'Services&amp;goods'!$E$4:$W$115,17,0),0)*GenAssumptions!$E$16</f>
        <v>20000</v>
      </c>
      <c r="G26" s="394">
        <f>SUMIFS(GenAssumptions!$D:$D,GenAssumptions!$C:$C,$E26)*(1+GenAssumptions!$D$17)</f>
        <v>4.0743982440000002</v>
      </c>
      <c r="H26" s="143">
        <f>F26*G26/GenAssumptions!$B$10</f>
        <v>1164.1137839999999</v>
      </c>
      <c r="I26" s="143">
        <f>ROUND(IF($I$1="USD",H26,IF($H$1="EUR",H26*GenAssumptions!$B$11,IF($H$1=$K$1,H26/GenAssumptions!$B$10,"ошибка в заполнении блока Курсы валют"))),2)</f>
        <v>1164.1099999999999</v>
      </c>
      <c r="J26" s="144">
        <f>IF(I26&gt;0,I26/GenAssumptions!$B$11,0)</f>
        <v>868.73880597014909</v>
      </c>
      <c r="K26" s="145">
        <f t="shared" ref="K26:K34" si="1">F26*G26</f>
        <v>81487.96488</v>
      </c>
      <c r="M26" s="61"/>
    </row>
    <row r="27" spans="1:15" ht="18" customHeight="1" x14ac:dyDescent="0.25">
      <c r="A27" s="77" t="s">
        <v>174</v>
      </c>
      <c r="B27" s="77">
        <v>3</v>
      </c>
      <c r="E27" s="58" t="str">
        <f>IF(B27&lt;=$A$22,VLOOKUP(A27,'Services&amp;goods'!$E$4:$W$115,15,0),0)</f>
        <v>Презервативы</v>
      </c>
      <c r="F27" s="141">
        <f>IF($B27&lt;=$A$22,VLOOKUP($A27,'Services&amp;goods'!$E$4:$W$115,17,0),0)*GenAssumptions!$E$16</f>
        <v>50000</v>
      </c>
      <c r="G27" s="394">
        <f>SUMIFS(GenAssumptions!$D:$D,GenAssumptions!$C:$C,$E27)*(1+GenAssumptions!$D$17)</f>
        <v>5.25</v>
      </c>
      <c r="H27" s="143">
        <f>F27*G27/GenAssumptions!$B$10</f>
        <v>3750</v>
      </c>
      <c r="I27" s="143">
        <f>ROUND(IF($I$1="USD",H27,IF($H$1="EUR",H27*GenAssumptions!$B$11,IF($H$1=$K$1,H27/GenAssumptions!$B$10,"ошибка в заполнении блока Курсы валют"))),2)</f>
        <v>3750</v>
      </c>
      <c r="J27" s="144">
        <f>IF(I27&gt;0,I27/GenAssumptions!$B$11,0)</f>
        <v>2798.5074626865671</v>
      </c>
      <c r="K27" s="145">
        <f t="shared" si="1"/>
        <v>262500</v>
      </c>
      <c r="M27" s="61"/>
    </row>
    <row r="28" spans="1:15" ht="18" customHeight="1" x14ac:dyDescent="0.25">
      <c r="A28" s="77" t="s">
        <v>175</v>
      </c>
      <c r="B28" s="77">
        <v>4</v>
      </c>
      <c r="E28" s="58" t="str">
        <f>IF(B28&lt;=$A$22,VLOOKUP(A28,'Services&amp;goods'!$E$4:$W$115,15,0),0)</f>
        <v>Спиртовые салфетки</v>
      </c>
      <c r="F28" s="141">
        <f>IF($B28&lt;=$A$22,VLOOKUP($A28,'Services&amp;goods'!$E$4:$W$115,17,0),0)*GenAssumptions!$E$16</f>
        <v>20000</v>
      </c>
      <c r="G28" s="394">
        <f>SUMIFS(GenAssumptions!$D:$D,GenAssumptions!$C:$C,$E28)*(1+GenAssumptions!$D$17)</f>
        <v>0.50929978050000002</v>
      </c>
      <c r="H28" s="143">
        <f>F28*G28/GenAssumptions!$B$10</f>
        <v>145.51422299999999</v>
      </c>
      <c r="I28" s="143">
        <f>ROUND(IF($I$1="USD",H28,IF($H$1="EUR",H28*GenAssumptions!$B$11,IF($H$1=$K$1,H28/GenAssumptions!$B$10,"ошибка в заполнении блока Курсы валют"))),2)</f>
        <v>145.51</v>
      </c>
      <c r="J28" s="144">
        <f>IF(I28&gt;0,I28/GenAssumptions!$B$11,0)</f>
        <v>108.58955223880595</v>
      </c>
      <c r="K28" s="145">
        <f t="shared" si="1"/>
        <v>10185.99561</v>
      </c>
      <c r="M28" s="61"/>
    </row>
    <row r="29" spans="1:15" ht="18" customHeight="1" x14ac:dyDescent="0.25">
      <c r="A29" s="77" t="s">
        <v>176</v>
      </c>
      <c r="B29" s="77">
        <v>5</v>
      </c>
      <c r="E29" s="58" t="str">
        <f>IF(B29&lt;=$A$22,VLOOKUP(A29,'Services&amp;goods'!$E$4:$W$115,15,0),0)</f>
        <v>Быстрые тесты на ВИЧ</v>
      </c>
      <c r="F29" s="141">
        <f>IF($B29&lt;=$A$22,VLOOKUP($A29,'Services&amp;goods'!$E$4:$W$115,17,0),0)*GenAssumptions!$E$16</f>
        <v>800</v>
      </c>
      <c r="G29" s="394">
        <f>SUMIFS(GenAssumptions!$D:$D,GenAssumptions!$C:$C,$E29)*(1+GenAssumptions!$D$17)</f>
        <v>367.5</v>
      </c>
      <c r="H29" s="143">
        <f>F29*G29/GenAssumptions!$B$10</f>
        <v>4200</v>
      </c>
      <c r="I29" s="143">
        <f>ROUND(IF($I$1="USD",H29,IF($H$1="EUR",H29*GenAssumptions!$B$11,IF($H$1=$K$1,H29/GenAssumptions!$B$10,"ошибка в заполнении блока Курсы валют"))),2)</f>
        <v>4200</v>
      </c>
      <c r="J29" s="144">
        <f>IF(I29&gt;0,I29/GenAssumptions!$B$11,0)</f>
        <v>3134.3283582089553</v>
      </c>
      <c r="K29" s="145">
        <f t="shared" si="1"/>
        <v>294000</v>
      </c>
      <c r="M29" s="61"/>
    </row>
    <row r="30" spans="1:15" ht="18" customHeight="1" x14ac:dyDescent="0.25">
      <c r="A30" s="77" t="s">
        <v>177</v>
      </c>
      <c r="B30" s="77">
        <v>6</v>
      </c>
      <c r="E30" s="58" t="str">
        <f>IF(B30&lt;=$A$22,VLOOKUP(A30,'Services&amp;goods'!$E$4:$W$115,15,0),0)</f>
        <v>STI tests EIA</v>
      </c>
      <c r="F30" s="141">
        <f>IF($B30&lt;=$A$22,VLOOKUP($A30,'Services&amp;goods'!$E$4:$W$115,17,0),0)*GenAssumptions!$E$16</f>
        <v>500</v>
      </c>
      <c r="G30" s="394">
        <f>SUMIFS(GenAssumptions!$D:$D,GenAssumptions!$C:$C,$E30)*(1+GenAssumptions!$D$17)</f>
        <v>6300</v>
      </c>
      <c r="H30" s="143">
        <f>F30*G30/GenAssumptions!$B$10</f>
        <v>45000</v>
      </c>
      <c r="I30" s="143">
        <f>ROUND(IF($I$1="USD",H30,IF($H$1="EUR",H30*GenAssumptions!$B$11,IF($H$1=$K$1,H30/GenAssumptions!$B$10,"ошибка в заполнении блока Курсы валют"))),2)</f>
        <v>45000</v>
      </c>
      <c r="J30" s="144">
        <f>IF(I30&gt;0,I30/GenAssumptions!$B$11,0)</f>
        <v>33582.089552238802</v>
      </c>
      <c r="K30" s="145">
        <f t="shared" si="1"/>
        <v>3150000</v>
      </c>
      <c r="M30" s="61"/>
    </row>
    <row r="31" spans="1:15" ht="18" customHeight="1" x14ac:dyDescent="0.25">
      <c r="A31" s="77" t="s">
        <v>178</v>
      </c>
      <c r="B31" s="77">
        <v>7</v>
      </c>
      <c r="E31" s="58">
        <f>IF(B31&lt;=$A$22,VLOOKUP(A31,'Services&amp;goods'!$E$4:$W$115,15,0),0)</f>
        <v>0</v>
      </c>
      <c r="F31" s="141">
        <f>IF($B31&lt;=$A$22,VLOOKUP($A31,'Services&amp;goods'!$E$4:$W$115,17,0),0)*GenAssumptions!$E$16</f>
        <v>0</v>
      </c>
      <c r="G31" s="394">
        <f>SUMIFS(GenAssumptions!$D:$D,GenAssumptions!$C:$C,$E31)*(1+GenAssumptions!$D$17)</f>
        <v>0</v>
      </c>
      <c r="H31" s="143">
        <f>F31*G31/GenAssumptions!$B$10</f>
        <v>0</v>
      </c>
      <c r="I31" s="143">
        <f>ROUND(IF($I$1="USD",H31,IF($H$1="EUR",H31*GenAssumptions!$B$11,IF($H$1=$K$1,H31/GenAssumptions!$B$10,"ошибка в заполнении блока Курсы валют"))),2)</f>
        <v>0</v>
      </c>
      <c r="J31" s="144">
        <f>IF(I31&gt;0,I31/GenAssumptions!$B$11,0)</f>
        <v>0</v>
      </c>
      <c r="K31" s="145">
        <f t="shared" si="1"/>
        <v>0</v>
      </c>
      <c r="M31" s="61"/>
    </row>
    <row r="32" spans="1:15" ht="18" customHeight="1" x14ac:dyDescent="0.25">
      <c r="A32" s="77" t="s">
        <v>179</v>
      </c>
      <c r="B32" s="77">
        <v>8</v>
      </c>
      <c r="E32" s="58">
        <f>IF(B32&lt;=$A$22,VLOOKUP(A32,'Services&amp;goods'!$E$4:$W$115,15,0),0)</f>
        <v>0</v>
      </c>
      <c r="F32" s="141">
        <f>IF($B32&lt;=$A$22,VLOOKUP($A32,'Services&amp;goods'!$E$4:$W$115,17,0),0)*GenAssumptions!$E$16</f>
        <v>0</v>
      </c>
      <c r="G32" s="394">
        <f>SUMIFS(GenAssumptions!$D:$D,GenAssumptions!$C:$C,$E32)*(1+GenAssumptions!$D$17)</f>
        <v>0</v>
      </c>
      <c r="H32" s="143">
        <f>F32*G32/GenAssumptions!$B$10</f>
        <v>0</v>
      </c>
      <c r="I32" s="143">
        <f>ROUND(IF($I$1="USD",H32,IF($H$1="EUR",H32*GenAssumptions!$B$11,IF($H$1=$K$1,H32/GenAssumptions!$B$10,"ошибка в заполнении блока Курсы валют"))),2)</f>
        <v>0</v>
      </c>
      <c r="J32" s="144">
        <f>IF(I32&gt;0,I32/GenAssumptions!$B$11,0)</f>
        <v>0</v>
      </c>
      <c r="K32" s="145">
        <f t="shared" si="1"/>
        <v>0</v>
      </c>
      <c r="M32" s="61"/>
    </row>
    <row r="33" spans="1:13" ht="18" customHeight="1" x14ac:dyDescent="0.25">
      <c r="A33" s="77" t="s">
        <v>180</v>
      </c>
      <c r="B33" s="77">
        <v>9</v>
      </c>
      <c r="E33" s="58">
        <f>IF(B33&lt;=$A$22,VLOOKUP(A33,'Services&amp;goods'!$E$4:$W$115,15,0),0)</f>
        <v>0</v>
      </c>
      <c r="F33" s="141">
        <f>IF($B33&lt;=$A$22,VLOOKUP($A33,'Services&amp;goods'!$E$4:$W$115,17,0),0)*GenAssumptions!$E$16</f>
        <v>0</v>
      </c>
      <c r="G33" s="394">
        <f>SUMIFS(GenAssumptions!$D:$D,GenAssumptions!$C:$C,$E33)*(1+GenAssumptions!$D$17)</f>
        <v>0</v>
      </c>
      <c r="H33" s="143">
        <f>F33*G33/GenAssumptions!$B$10</f>
        <v>0</v>
      </c>
      <c r="I33" s="143">
        <f>ROUND(IF($I$1="USD",H33,IF($H$1="EUR",H33*GenAssumptions!$B$11,IF($H$1=$K$1,H33/GenAssumptions!$B$10,"ошибка в заполнении блока Курсы валют"))),2)</f>
        <v>0</v>
      </c>
      <c r="J33" s="144">
        <f>IF(I33&gt;0,I33/GenAssumptions!$B$11,0)</f>
        <v>0</v>
      </c>
      <c r="K33" s="145">
        <f t="shared" si="1"/>
        <v>0</v>
      </c>
      <c r="M33" s="61"/>
    </row>
    <row r="34" spans="1:13" ht="18" customHeight="1" x14ac:dyDescent="0.25">
      <c r="A34" s="77" t="s">
        <v>181</v>
      </c>
      <c r="B34" s="77">
        <v>10</v>
      </c>
      <c r="E34" s="58">
        <f>IF(B34&lt;=$A$22,VLOOKUP(A34,'Services&amp;goods'!$E$4:$W$115,15,0),0)</f>
        <v>0</v>
      </c>
      <c r="F34" s="141">
        <f>IF($B34&lt;=$A$22,VLOOKUP($A34,'Services&amp;goods'!$E$4:$W$115,17,0),0)*GenAssumptions!$E$16</f>
        <v>0</v>
      </c>
      <c r="G34" s="394">
        <f>SUMIFS(GenAssumptions!$D:$D,GenAssumptions!$C:$C,$E34)*(1+GenAssumptions!$D$17)</f>
        <v>0</v>
      </c>
      <c r="H34" s="143">
        <f>F34*G34/GenAssumptions!$B$10</f>
        <v>0</v>
      </c>
      <c r="I34" s="143">
        <f>ROUND(IF($I$1="USD",H34,IF($H$1="EUR",H34*GenAssumptions!$B$11,IF($H$1=$K$1,H34/GenAssumptions!$B$10,"ошибка в заполнении блока Курсы валют"))),2)</f>
        <v>0</v>
      </c>
      <c r="J34" s="144">
        <f>IF(I34&gt;0,I34/GenAssumptions!$B$11,0)</f>
        <v>0</v>
      </c>
      <c r="K34" s="145">
        <f t="shared" si="1"/>
        <v>0</v>
      </c>
      <c r="M34" s="61"/>
    </row>
    <row r="35" spans="1:13" ht="18" customHeight="1" x14ac:dyDescent="0.25">
      <c r="A35" s="77" t="s">
        <v>182</v>
      </c>
      <c r="B35" s="77">
        <v>11</v>
      </c>
      <c r="E35" s="58">
        <f>IF(B35&lt;=$A$22,VLOOKUP(A35,'Services&amp;goods'!$E$4:$W$115,15,0),0)</f>
        <v>0</v>
      </c>
      <c r="F35" s="141">
        <f>IF($B35&lt;=$A$22,VLOOKUP($A35,'Services&amp;goods'!$E$4:$W$115,17,0),0)*GenAssumptions!$E$16</f>
        <v>0</v>
      </c>
      <c r="G35" s="95">
        <f>SUMIFS(GenAssumptions!$E:$E,GenAssumptions!$C:$C,$E35)*(1+GenAssumptions!$E$17)</f>
        <v>0</v>
      </c>
      <c r="H35" s="143">
        <f t="shared" ref="H35:H45" si="2">F35*G35</f>
        <v>0</v>
      </c>
      <c r="I35" s="143">
        <f>ROUND(IF($I$1="USD",H35,IF($H$1="EUR",H35*GenAssumptions!$B$11,IF($H$1=$K$1,H35/GenAssumptions!$B$10,"ошибка в заполнении блока Курсы валют"))),2)</f>
        <v>0</v>
      </c>
      <c r="J35" s="144">
        <f>IF(I35&gt;0,I35/GenAssumptions!$B$11,0)</f>
        <v>0</v>
      </c>
      <c r="K35" s="145">
        <f>IF(I35&gt;0,I35*GenAssumptions!$B$10,0)</f>
        <v>0</v>
      </c>
    </row>
    <row r="36" spans="1:13" ht="18" customHeight="1" x14ac:dyDescent="0.25">
      <c r="A36" s="77" t="s">
        <v>183</v>
      </c>
      <c r="B36" s="77">
        <v>12</v>
      </c>
      <c r="E36" s="58">
        <f>IF(B36&lt;=$A$22,VLOOKUP(A36,'Services&amp;goods'!$E$4:$W$115,15,0),0)</f>
        <v>0</v>
      </c>
      <c r="F36" s="141">
        <v>0</v>
      </c>
      <c r="G36" s="95">
        <f>SUMIFS(GenAssumptions!$E:$E,GenAssumptions!$C:$C,$E36)*(1+GenAssumptions!$E$17)</f>
        <v>0</v>
      </c>
      <c r="H36" s="143">
        <f t="shared" si="2"/>
        <v>0</v>
      </c>
      <c r="I36" s="143">
        <f>ROUND(IF($I$1="USD",H36,IF($H$1="EUR",H36*GenAssumptions!$B$11,IF($H$1=$K$1,H36/GenAssumptions!$B$10,"ошибка в заполнении блока Курсы валют"))),2)</f>
        <v>0</v>
      </c>
      <c r="J36" s="144">
        <f>IF(I36&gt;0,I36/GenAssumptions!$B$11,0)</f>
        <v>0</v>
      </c>
      <c r="K36" s="145">
        <f>IF(I36&gt;0,I36*GenAssumptions!$B$10,0)</f>
        <v>0</v>
      </c>
    </row>
    <row r="37" spans="1:13" ht="18" customHeight="1" x14ac:dyDescent="0.25">
      <c r="A37" s="77" t="s">
        <v>184</v>
      </c>
      <c r="B37" s="77">
        <v>13</v>
      </c>
      <c r="E37" s="58">
        <f>IF(B37&lt;=$A$22,VLOOKUP(A37,'Services&amp;goods'!$E$4:$W$115,15,0),0)</f>
        <v>0</v>
      </c>
      <c r="F37" s="141">
        <f>IF($B37&lt;=$A$22,VLOOKUP($A37,'Services&amp;goods'!$E$4:$W$115,17,0),0)*GenAssumptions!$E$16</f>
        <v>0</v>
      </c>
      <c r="G37" s="95">
        <f>SUMIFS(GenAssumptions!$E:$E,GenAssumptions!$C:$C,$E37)*(1+GenAssumptions!$E$17)</f>
        <v>0</v>
      </c>
      <c r="H37" s="143">
        <f t="shared" si="2"/>
        <v>0</v>
      </c>
      <c r="I37" s="143">
        <f>ROUND(IF($I$1="USD",H37,IF($H$1="EUR",H37*GenAssumptions!$B$11,IF($H$1=$K$1,H37/GenAssumptions!$B$10,"ошибка в заполнении блока Курсы валют"))),2)</f>
        <v>0</v>
      </c>
      <c r="J37" s="144">
        <f>IF(I37&gt;0,I37/GenAssumptions!$B$11,0)</f>
        <v>0</v>
      </c>
      <c r="K37" s="145">
        <f>IF(I37&gt;0,I37*GenAssumptions!$B$10,0)</f>
        <v>0</v>
      </c>
    </row>
    <row r="38" spans="1:13" ht="18" customHeight="1" x14ac:dyDescent="0.25">
      <c r="A38" s="77" t="s">
        <v>185</v>
      </c>
      <c r="B38" s="77">
        <v>14</v>
      </c>
      <c r="E38" s="58">
        <f>IF(B38&lt;=$A$22,VLOOKUP(A38,'Services&amp;goods'!$E$4:$W$115,15,0),0)</f>
        <v>0</v>
      </c>
      <c r="F38" s="141">
        <f>IF($B38&lt;=$A$22,VLOOKUP($A38,'Services&amp;goods'!$E$4:$W$115,17,0),0)*GenAssumptions!$E$16</f>
        <v>0</v>
      </c>
      <c r="G38" s="95">
        <f>SUMIFS(GenAssumptions!$E:$E,GenAssumptions!$C:$C,$E38)*(1+GenAssumptions!$E$17)</f>
        <v>0</v>
      </c>
      <c r="H38" s="143">
        <f t="shared" si="2"/>
        <v>0</v>
      </c>
      <c r="I38" s="143">
        <f>ROUND(IF($I$1="USD",H38,IF($H$1="EUR",H38*GenAssumptions!$B$11,IF($H$1=$K$1,H38/GenAssumptions!$B$10,"ошибка в заполнении блока Курсы валют"))),2)</f>
        <v>0</v>
      </c>
      <c r="J38" s="144">
        <f>IF(I38&gt;0,I38/GenAssumptions!$B$11,0)</f>
        <v>0</v>
      </c>
      <c r="K38" s="145">
        <f>IF(I38&gt;0,I38*GenAssumptions!$B$10,0)</f>
        <v>0</v>
      </c>
    </row>
    <row r="39" spans="1:13" ht="18" customHeight="1" x14ac:dyDescent="0.25">
      <c r="A39" s="77" t="s">
        <v>186</v>
      </c>
      <c r="B39" s="77">
        <v>15</v>
      </c>
      <c r="E39" s="58">
        <f>IF(B39&lt;=$A$22,VLOOKUP(A39,'Services&amp;goods'!$E$4:$W$115,15,0),0)</f>
        <v>0</v>
      </c>
      <c r="F39" s="141">
        <f>IF($B39&lt;=$A$22,VLOOKUP($A39,'Services&amp;goods'!$E$4:$W$115,17,0),0)*GenAssumptions!$E$16</f>
        <v>0</v>
      </c>
      <c r="G39" s="95">
        <f>SUMIFS(GenAssumptions!$E:$E,GenAssumptions!$C:$C,$E39)*(1+GenAssumptions!$E$17)</f>
        <v>0</v>
      </c>
      <c r="H39" s="143">
        <f t="shared" si="2"/>
        <v>0</v>
      </c>
      <c r="I39" s="143">
        <f>ROUND(IF($I$1="USD",H39,IF($H$1="EUR",H39*GenAssumptions!$B$11,IF($H$1=$K$1,H39/GenAssumptions!$B$10,"ошибка в заполнении блока Курсы валют"))),2)</f>
        <v>0</v>
      </c>
      <c r="J39" s="144">
        <f>IF(I39&gt;0,I39/GenAssumptions!$B$11,0)</f>
        <v>0</v>
      </c>
      <c r="K39" s="145">
        <f>IF(I39&gt;0,I39*GenAssumptions!$B$10,0)</f>
        <v>0</v>
      </c>
    </row>
    <row r="40" spans="1:13" ht="18" hidden="1" customHeight="1" outlineLevel="1" x14ac:dyDescent="0.25">
      <c r="A40" s="77" t="s">
        <v>187</v>
      </c>
      <c r="B40" s="77">
        <v>16</v>
      </c>
      <c r="E40" s="58">
        <f>IF(B40&lt;=$A$22,VLOOKUP(A40,'Services&amp;goods'!$E$4:$W$115,15,0),0)</f>
        <v>0</v>
      </c>
      <c r="F40" s="141">
        <f>IF($B40&lt;=$A$22,VLOOKUP($A40,'Services&amp;goods'!$E$4:$W$115,17,0),0)*GenAssumptions!$E$16</f>
        <v>0</v>
      </c>
      <c r="G40" s="95">
        <f>SUMIFS(GenAssumptions!$E:$E,GenAssumptions!$C:$C,$E40)*(1+GenAssumptions!$E$17)</f>
        <v>0</v>
      </c>
      <c r="H40" s="143">
        <f t="shared" si="2"/>
        <v>0</v>
      </c>
      <c r="I40" s="143">
        <f>ROUND(IF($I$1="USD",H40,IF($H$1="EUR",H40*GenAssumptions!$B$11,IF($H$1=$K$1,H40/GenAssumptions!$B$10,"ошибка в заполнении блока Курсы валют"))),2)</f>
        <v>0</v>
      </c>
      <c r="J40" s="144">
        <f>IF(I40&gt;0,I40/GenAssumptions!$B$11,0)</f>
        <v>0</v>
      </c>
      <c r="K40" s="145">
        <f>IF(I40&gt;0,I40*GenAssumptions!$B$10,0)</f>
        <v>0</v>
      </c>
    </row>
    <row r="41" spans="1:13" ht="18" hidden="1" customHeight="1" outlineLevel="1" x14ac:dyDescent="0.25">
      <c r="A41" s="77" t="s">
        <v>188</v>
      </c>
      <c r="B41" s="77">
        <v>17</v>
      </c>
      <c r="E41" s="58">
        <f>IF(B41&lt;=$A$22,VLOOKUP(A41,'Services&amp;goods'!$E$4:$W$115,15,0),0)</f>
        <v>0</v>
      </c>
      <c r="F41" s="141">
        <f>IF($B41&lt;=$A$22,VLOOKUP($A41,'Services&amp;goods'!$E$4:$W$115,17,0),0)*GenAssumptions!$E$16</f>
        <v>0</v>
      </c>
      <c r="G41" s="95">
        <f>SUMIFS(GenAssumptions!$E:$E,GenAssumptions!$C:$C,$E41)*(1+GenAssumptions!$E$17)</f>
        <v>0</v>
      </c>
      <c r="H41" s="143">
        <f t="shared" si="2"/>
        <v>0</v>
      </c>
      <c r="I41" s="143">
        <f>ROUND(IF($I$1="USD",H41,IF($H$1="EUR",H41*GenAssumptions!$B$11,IF($H$1=$K$1,H41/GenAssumptions!$B$10,"ошибка в заполнении блока Курсы валют"))),2)</f>
        <v>0</v>
      </c>
      <c r="J41" s="144">
        <f>IF(I41&gt;0,I41/GenAssumptions!$B$11,0)</f>
        <v>0</v>
      </c>
      <c r="K41" s="145">
        <f>IF(I41&gt;0,I41*GenAssumptions!$B$10,0)</f>
        <v>0</v>
      </c>
    </row>
    <row r="42" spans="1:13" ht="18" hidden="1" customHeight="1" outlineLevel="1" x14ac:dyDescent="0.25">
      <c r="A42" s="77" t="s">
        <v>189</v>
      </c>
      <c r="B42" s="77">
        <v>18</v>
      </c>
      <c r="E42" s="58">
        <f>IF(B42&lt;=$A$22,VLOOKUP(A42,'Services&amp;goods'!$E$4:$W$115,15,0),0)</f>
        <v>0</v>
      </c>
      <c r="F42" s="141">
        <f>IF($B42&lt;=$A$22,VLOOKUP($A42,'Services&amp;goods'!$E$4:$W$115,17,0),0)*GenAssumptions!$E$16</f>
        <v>0</v>
      </c>
      <c r="G42" s="95">
        <f>SUMIFS(GenAssumptions!$E:$E,GenAssumptions!$C:$C,$E42)*(1+GenAssumptions!$E$17)</f>
        <v>0</v>
      </c>
      <c r="H42" s="143">
        <f t="shared" si="2"/>
        <v>0</v>
      </c>
      <c r="I42" s="143">
        <f>ROUND(IF($I$1="USD",H42,IF($H$1="EUR",H42*GenAssumptions!$B$11,IF($H$1=$K$1,H42/GenAssumptions!$B$10,"ошибка в заполнении блока Курсы валют"))),2)</f>
        <v>0</v>
      </c>
      <c r="J42" s="144">
        <f>IF(I42&gt;0,I42/GenAssumptions!$B$11,0)</f>
        <v>0</v>
      </c>
      <c r="K42" s="145">
        <f>IF(I42&gt;0,I42*GenAssumptions!$B$10,0)</f>
        <v>0</v>
      </c>
    </row>
    <row r="43" spans="1:13" ht="18" hidden="1" customHeight="1" outlineLevel="1" x14ac:dyDescent="0.25">
      <c r="A43" s="77" t="s">
        <v>190</v>
      </c>
      <c r="B43" s="77">
        <v>19</v>
      </c>
      <c r="E43" s="58">
        <f>IF(B43&lt;=$A$22,VLOOKUP(A43,'Services&amp;goods'!$E$4:$W$115,15,0),0)</f>
        <v>0</v>
      </c>
      <c r="F43" s="141">
        <f>IF($B43&lt;=$A$22,VLOOKUP($A43,'Services&amp;goods'!$E$4:$W$115,17,0),0)*GenAssumptions!$E$16</f>
        <v>0</v>
      </c>
      <c r="G43" s="95">
        <f>SUMIFS(GenAssumptions!$E:$E,GenAssumptions!$C:$C,$E43)*(1+GenAssumptions!$E$17)</f>
        <v>0</v>
      </c>
      <c r="H43" s="143">
        <f t="shared" si="2"/>
        <v>0</v>
      </c>
      <c r="I43" s="143">
        <f>ROUND(IF($I$1="USD",H43,IF($H$1="EUR",H43*GenAssumptions!$B$11,IF($H$1=$K$1,H43/GenAssumptions!$B$10,"ошибка в заполнении блока Курсы валют"))),2)</f>
        <v>0</v>
      </c>
      <c r="J43" s="144">
        <f>IF(I43&gt;0,I43/GenAssumptions!$B$11,0)</f>
        <v>0</v>
      </c>
      <c r="K43" s="145">
        <f>IF(I43&gt;0,I43*GenAssumptions!$B$10,0)</f>
        <v>0</v>
      </c>
    </row>
    <row r="44" spans="1:13" ht="18" hidden="1" customHeight="1" outlineLevel="1" x14ac:dyDescent="0.25">
      <c r="A44" s="77" t="s">
        <v>191</v>
      </c>
      <c r="B44" s="77">
        <v>20</v>
      </c>
      <c r="E44" s="58">
        <f>IF(B44&lt;=$A$22,VLOOKUP(A44,'Services&amp;goods'!$E$4:$W$115,15,0),0)</f>
        <v>0</v>
      </c>
      <c r="F44" s="141">
        <f>IF($B44&lt;=$A$22,VLOOKUP($A44,'Services&amp;goods'!$E$4:$W$115,17,0),0)*GenAssumptions!$E$16</f>
        <v>0</v>
      </c>
      <c r="G44" s="95">
        <f>SUMIFS(GenAssumptions!$E:$E,GenAssumptions!$C:$C,$E44)*(1+GenAssumptions!$E$17)</f>
        <v>0</v>
      </c>
      <c r="H44" s="143">
        <f t="shared" si="2"/>
        <v>0</v>
      </c>
      <c r="I44" s="143">
        <f>ROUND(IF($I$1="USD",H44,IF($H$1="EUR",H44*GenAssumptions!$B$11,IF($H$1=$K$1,H44/GenAssumptions!$B$10,"ошибка в заполнении блока Курсы валют"))),2)</f>
        <v>0</v>
      </c>
      <c r="J44" s="144">
        <f>IF(I44&gt;0,I44/GenAssumptions!$B$11,0)</f>
        <v>0</v>
      </c>
      <c r="K44" s="145">
        <f>IF(I44&gt;0,I44*GenAssumptions!$B$10,0)</f>
        <v>0</v>
      </c>
    </row>
    <row r="45" spans="1:13" ht="18" hidden="1" customHeight="1" outlineLevel="1" x14ac:dyDescent="0.25">
      <c r="A45" s="77" t="s">
        <v>192</v>
      </c>
      <c r="B45" s="77">
        <v>21</v>
      </c>
      <c r="E45" s="58">
        <f>IF(B45&lt;=$A$22,VLOOKUP(A45,'Services&amp;goods'!$E$4:$W$115,15,0),0)</f>
        <v>0</v>
      </c>
      <c r="F45" s="141">
        <f>IF($B45&lt;=$A$22,VLOOKUP($A45,'Services&amp;goods'!$E$4:$W$115,17,0),0)*GenAssumptions!$E$16</f>
        <v>0</v>
      </c>
      <c r="G45" s="95">
        <f>SUMIFS(GenAssumptions!$E:$E,GenAssumptions!$C:$C,$E45)*(1+GenAssumptions!$E$17)</f>
        <v>0</v>
      </c>
      <c r="H45" s="143">
        <f t="shared" si="2"/>
        <v>0</v>
      </c>
      <c r="I45" s="143">
        <f>ROUND(IF($I$1="USD",H45,IF($H$1="EUR",H45*GenAssumptions!$B$11,IF($H$1=$K$1,H45/GenAssumptions!$B$10,"ошибка в заполнении блока Курсы валют"))),2)</f>
        <v>0</v>
      </c>
      <c r="J45" s="144">
        <f>IF(I45&gt;0,I45/GenAssumptions!$B$11,0)</f>
        <v>0</v>
      </c>
      <c r="K45" s="145">
        <f>IF(I45&gt;0,I45*GenAssumptions!$B$10,0)</f>
        <v>0</v>
      </c>
    </row>
    <row r="46" spans="1:13" ht="18" hidden="1" customHeight="1" outlineLevel="1" x14ac:dyDescent="0.25">
      <c r="A46" s="77" t="s">
        <v>193</v>
      </c>
      <c r="B46" s="77">
        <v>22</v>
      </c>
      <c r="E46" s="58">
        <f>IF(B46&lt;=$A$22,VLOOKUP(A46,'Services&amp;goods'!$E$4:$W$115,15,0),0)</f>
        <v>0</v>
      </c>
      <c r="F46" s="141">
        <f>IF($B46&lt;=$A$22,VLOOKUP($A46,'Services&amp;goods'!$E$4:$W$115,17,0),0)*GenAssumptions!$E$16</f>
        <v>0</v>
      </c>
      <c r="G46" s="95">
        <f>SUMIFS(GenAssumptions!$E:$E,GenAssumptions!$C:$C,$E46)*(1+GenAssumptions!$E$17)</f>
        <v>0</v>
      </c>
      <c r="H46" s="143">
        <f>F46*G46</f>
        <v>0</v>
      </c>
      <c r="I46" s="143">
        <f>ROUND(IF($I$1="USD",H46,IF($H$1="EUR",H46*GenAssumptions!$B$11,IF($H$1=$K$1,H46/GenAssumptions!$B$10,"ошибка в заполнении блока Курсы валют"))),2)</f>
        <v>0</v>
      </c>
      <c r="J46" s="144">
        <f>IF(I46&gt;0,I46/GenAssumptions!$B$11,0)</f>
        <v>0</v>
      </c>
      <c r="K46" s="145">
        <f>IF(I46&gt;0,I46*GenAssumptions!$B$10,0)</f>
        <v>0</v>
      </c>
    </row>
    <row r="47" spans="1:13" ht="18" hidden="1" customHeight="1" outlineLevel="1" x14ac:dyDescent="0.25">
      <c r="A47" s="77" t="s">
        <v>194</v>
      </c>
      <c r="B47" s="77">
        <v>23</v>
      </c>
      <c r="E47" s="58">
        <f>IF(B47&lt;=$A$22,VLOOKUP(A47,'Services&amp;goods'!$E$4:$W$115,15,0),0)</f>
        <v>0</v>
      </c>
      <c r="F47" s="141">
        <f>IF($B47&lt;=$A$22,VLOOKUP($A47,'Services&amp;goods'!$E$4:$W$115,17,0),0)*GenAssumptions!$E$16</f>
        <v>0</v>
      </c>
      <c r="G47" s="95">
        <f>SUMIFS(GenAssumptions!$E:$E,GenAssumptions!$C:$C,$E47)*(1+GenAssumptions!$E$17)</f>
        <v>0</v>
      </c>
      <c r="H47" s="143">
        <f>F47*G47</f>
        <v>0</v>
      </c>
      <c r="I47" s="143">
        <f>ROUND(IF($I$1="USD",H47,IF($H$1="EUR",H47*GenAssumptions!$B$11,IF($H$1=$K$1,H47/GenAssumptions!$B$10,"ошибка в заполнении блока Курсы валют"))),2)</f>
        <v>0</v>
      </c>
      <c r="J47" s="144">
        <f>IF(I47&gt;0,I47/GenAssumptions!$B$11,0)</f>
        <v>0</v>
      </c>
      <c r="K47" s="145">
        <f>IF(I47&gt;0,I47*GenAssumptions!$B$10,0)</f>
        <v>0</v>
      </c>
    </row>
    <row r="48" spans="1:13" ht="18" hidden="1" customHeight="1" outlineLevel="1" x14ac:dyDescent="0.25">
      <c r="A48" s="77" t="s">
        <v>195</v>
      </c>
      <c r="B48" s="77">
        <v>24</v>
      </c>
      <c r="E48" s="58">
        <f>IF(B48&lt;=$A$22,VLOOKUP(A48,'Services&amp;goods'!$E$4:$W$115,15,0),0)</f>
        <v>0</v>
      </c>
      <c r="F48" s="141">
        <f>IF($B48&lt;=$A$22,VLOOKUP($A48,'Services&amp;goods'!$E$4:$W$115,17,0),0)*GenAssumptions!$E$16</f>
        <v>0</v>
      </c>
      <c r="G48" s="95">
        <f>SUMIFS(GenAssumptions!$E:$E,GenAssumptions!$C:$C,$E48)*(1+GenAssumptions!$E$17)</f>
        <v>0</v>
      </c>
      <c r="H48" s="143">
        <f>F48*G48</f>
        <v>0</v>
      </c>
      <c r="I48" s="143">
        <f>ROUND(IF($I$1="USD",H48,IF($H$1="EUR",H48*GenAssumptions!$B$11,IF($H$1=$K$1,H48/GenAssumptions!$B$10,"ошибка в заполнении блока Курсы валют"))),2)</f>
        <v>0</v>
      </c>
      <c r="J48" s="144">
        <f>IF(I48&gt;0,I48/GenAssumptions!$B$11,0)</f>
        <v>0</v>
      </c>
      <c r="K48" s="145">
        <f>IF(I48&gt;0,I48*GenAssumptions!$B$10,0)</f>
        <v>0</v>
      </c>
    </row>
    <row r="49" spans="1:14" ht="18" hidden="1" customHeight="1" outlineLevel="1" x14ac:dyDescent="0.25">
      <c r="A49" s="77" t="s">
        <v>264</v>
      </c>
      <c r="B49" s="77">
        <v>25</v>
      </c>
      <c r="E49" s="58">
        <f>IF(B49&lt;=$A$22,VLOOKUP(A49,'Services&amp;goods'!$E$4:$W$115,15,0),0)</f>
        <v>0</v>
      </c>
      <c r="F49" s="141">
        <f>IF($B49&lt;=$A$22,VLOOKUP($A49,'Services&amp;goods'!$E$4:$W$115,17,0),0)*GenAssumptions!$E$16</f>
        <v>0</v>
      </c>
      <c r="G49" s="95">
        <f>SUMIFS(GenAssumptions!$E:$E,GenAssumptions!$C:$C,$E49)*(1+GenAssumptions!$E$17)</f>
        <v>0</v>
      </c>
      <c r="H49" s="143">
        <f>F49*G49</f>
        <v>0</v>
      </c>
      <c r="I49" s="143">
        <f>ROUND(IF($I$1="USD",H49,IF($H$1="EUR",H49*GenAssumptions!$B$11,IF($H$1=$K$1,H49/GenAssumptions!$B$10,"ошибка в заполнении блока Курсы валют"))),2)</f>
        <v>0</v>
      </c>
      <c r="J49" s="144">
        <f>IF(I49&gt;0,I49/GenAssumptions!$B$11,0)</f>
        <v>0</v>
      </c>
      <c r="K49" s="145">
        <f>IF(I49&gt;0,I49*GenAssumptions!$B$10,0)</f>
        <v>0</v>
      </c>
    </row>
    <row r="50" spans="1:14" hidden="1" outlineLevel="1" x14ac:dyDescent="0.25">
      <c r="F50" s="58"/>
      <c r="G50" s="58"/>
      <c r="H50" s="57"/>
      <c r="I50" s="57"/>
      <c r="J50" s="60">
        <f>IF(I50&gt;0,I50/GenAssumptions!$B$11,0)</f>
        <v>0</v>
      </c>
      <c r="K50" s="61">
        <f>IF(I50&gt;0,I50*GenAssumptions!$B$10,0)</f>
        <v>0</v>
      </c>
    </row>
    <row r="51" spans="1:14" s="135" customFormat="1" ht="20.25" collapsed="1" x14ac:dyDescent="0.25">
      <c r="A51" s="134"/>
      <c r="B51" s="134"/>
      <c r="C51" s="186">
        <v>3</v>
      </c>
      <c r="D51" s="186" t="s">
        <v>316</v>
      </c>
      <c r="E51" s="187"/>
      <c r="F51" s="188"/>
      <c r="G51" s="188"/>
      <c r="H51" s="189">
        <f>SUM(H54:H71)</f>
        <v>32965.714285714283</v>
      </c>
      <c r="I51" s="189">
        <f>SUM(I54:I71)</f>
        <v>32965.730000000003</v>
      </c>
      <c r="J51" s="190">
        <f>I51/GenAssumptions!$B$11</f>
        <v>24601.291044776121</v>
      </c>
      <c r="K51" s="191">
        <f>SUM(K54:K68)</f>
        <v>2307600</v>
      </c>
      <c r="N51" s="135">
        <f>Summary!K63+Summary!K64</f>
        <v>49757.509999999995</v>
      </c>
    </row>
    <row r="52" spans="1:14" ht="15" customHeight="1" x14ac:dyDescent="0.25">
      <c r="C52" s="136"/>
      <c r="D52" s="136"/>
      <c r="F52" s="137"/>
      <c r="G52" s="137"/>
      <c r="H52" s="138"/>
      <c r="I52" s="138"/>
      <c r="J52" s="139"/>
      <c r="K52" s="140"/>
    </row>
    <row r="53" spans="1:14" ht="49.5" x14ac:dyDescent="0.25">
      <c r="D53" s="81"/>
      <c r="E53" s="82" t="s">
        <v>118</v>
      </c>
      <c r="F53" s="83" t="s">
        <v>315</v>
      </c>
      <c r="G53" s="83" t="str">
        <f>"Стоимость за единицу, "&amp;GenAssumptions!$B$8</f>
        <v>Стоимость за единицу, RUB</v>
      </c>
      <c r="H53" s="83" t="str">
        <f>"Общая стоимость, "&amp;GenAssumptions!$B$9</f>
        <v>Общая стоимость, USD</v>
      </c>
      <c r="I53" s="83" t="s">
        <v>258</v>
      </c>
      <c r="J53" s="83" t="s">
        <v>259</v>
      </c>
      <c r="K53" s="83" t="s">
        <v>356</v>
      </c>
    </row>
    <row r="54" spans="1:14" ht="18" customHeight="1" x14ac:dyDescent="0.25">
      <c r="E54" s="58" t="str">
        <f>'Support and Dev.'!H19</f>
        <v>Топливо для автомобиля</v>
      </c>
      <c r="F54" s="141">
        <f>'Support and Dev.'!L19</f>
        <v>12</v>
      </c>
      <c r="G54" s="142">
        <f>'Support and Dev.'!N19</f>
        <v>60000</v>
      </c>
      <c r="H54" s="143">
        <f>F54*G54/GenAssumptions!$B$10</f>
        <v>10285.714285714286</v>
      </c>
      <c r="I54" s="143">
        <f>ROUND(IF($I$1="USD",H54,IF($H$1="EUR",H54*GenAssumptions!$B$11,IF($H$1=$K$1,H54/GenAssumptions!$B$10,"ошибка в заполнении блока Курсы валют"))),2)</f>
        <v>10285.709999999999</v>
      </c>
      <c r="J54" s="144">
        <f>IF(I54&gt;0,I54/GenAssumptions!$B$11,0)</f>
        <v>7675.9029850746256</v>
      </c>
      <c r="K54" s="145">
        <f>F54*G54</f>
        <v>720000</v>
      </c>
    </row>
    <row r="55" spans="1:14" ht="18" customHeight="1" x14ac:dyDescent="0.25">
      <c r="E55" s="58" t="str">
        <f>'Support and Dev.'!H20</f>
        <v>Парковка для машины</v>
      </c>
      <c r="F55" s="141">
        <f>'Support and Dev.'!L20</f>
        <v>12</v>
      </c>
      <c r="G55" s="142">
        <f>'Support and Dev.'!N20</f>
        <v>18000</v>
      </c>
      <c r="H55" s="143">
        <f>F55*G55/GenAssumptions!$B$10</f>
        <v>3085.7142857142858</v>
      </c>
      <c r="I55" s="143">
        <f>ROUND(IF($I$1="USD",H55,IF($H$1="EUR",H55*GenAssumptions!$B$11,IF($H$1=$K$1,H55/GenAssumptions!$B$10,"ошибка в заполнении блока Курсы валют"))),2)</f>
        <v>3085.71</v>
      </c>
      <c r="J55" s="144">
        <f>IF(I55&gt;0,I55/GenAssumptions!$B$11,0)</f>
        <v>2302.7686567164178</v>
      </c>
      <c r="K55" s="145">
        <f t="shared" ref="K55:K67" si="3">F55*G55</f>
        <v>216000</v>
      </c>
    </row>
    <row r="56" spans="1:14" ht="18" customHeight="1" x14ac:dyDescent="0.25">
      <c r="E56" s="58" t="str">
        <f>'Support and Dev.'!H21</f>
        <v>Страхование автомобиля</v>
      </c>
      <c r="F56" s="141">
        <f>'Support and Dev.'!L21</f>
        <v>12</v>
      </c>
      <c r="G56" s="142">
        <f>'Support and Dev.'!N21</f>
        <v>3000</v>
      </c>
      <c r="H56" s="143">
        <f>F56*G56/GenAssumptions!$B$10</f>
        <v>514.28571428571433</v>
      </c>
      <c r="I56" s="143">
        <f>ROUND(IF($I$1="USD",H56,IF($H$1="EUR",H56*GenAssumptions!$B$11,IF($H$1=$K$1,H56/GenAssumptions!$B$10,"ошибка в заполнении блока Курсы валют"))),2)</f>
        <v>514.29</v>
      </c>
      <c r="J56" s="144">
        <f>IF(I56&gt;0,I56/GenAssumptions!$B$11,0)</f>
        <v>383.79850746268653</v>
      </c>
      <c r="K56" s="145">
        <f t="shared" si="3"/>
        <v>36000</v>
      </c>
    </row>
    <row r="57" spans="1:14" ht="18" customHeight="1" x14ac:dyDescent="0.25">
      <c r="E57" s="58" t="str">
        <f>'Support and Dev.'!H22</f>
        <v>Техническое обслуживание и ремонт автомобилей</v>
      </c>
      <c r="F57" s="141">
        <f>'Support and Dev.'!L22</f>
        <v>12</v>
      </c>
      <c r="G57" s="142">
        <f>'Support and Dev.'!N22</f>
        <v>10000</v>
      </c>
      <c r="H57" s="143">
        <f>F57*G57/GenAssumptions!$B$10</f>
        <v>1714.2857142857142</v>
      </c>
      <c r="I57" s="143">
        <f>ROUND(IF($I$1="USD",H57,IF($H$1="EUR",H57*GenAssumptions!$B$11,IF($H$1=$K$1,H57/GenAssumptions!$B$10,"ошибка в заполнении блока Курсы валют"))),2)</f>
        <v>1714.29</v>
      </c>
      <c r="J57" s="144">
        <f>IF(I57&gt;0,I57/GenAssumptions!$B$11,0)</f>
        <v>1279.3208955223879</v>
      </c>
      <c r="K57" s="145">
        <f t="shared" si="3"/>
        <v>120000</v>
      </c>
    </row>
    <row r="58" spans="1:14" ht="18" customHeight="1" x14ac:dyDescent="0.25">
      <c r="E58" s="58" t="str">
        <f>'Support and Dev.'!H23</f>
        <v>Мелкие расходные материалы для тестирования</v>
      </c>
      <c r="F58" s="141">
        <f>'Support and Dev.'!L23</f>
        <v>12</v>
      </c>
      <c r="G58" s="142">
        <f>'Support and Dev.'!N23</f>
        <v>10000</v>
      </c>
      <c r="H58" s="143">
        <f>F58*G58/GenAssumptions!$B$10</f>
        <v>1714.2857142857142</v>
      </c>
      <c r="I58" s="143">
        <f>ROUND(IF($I$1="USD",H58,IF($H$1="EUR",H58*GenAssumptions!$B$11,IF($H$1=$K$1,H58/GenAssumptions!$B$10,"ошибка в заполнении блока Курсы валют"))),2)</f>
        <v>1714.29</v>
      </c>
      <c r="J58" s="144">
        <f>IF(I58&gt;0,I58/GenAssumptions!$B$11,0)</f>
        <v>1279.3208955223879</v>
      </c>
      <c r="K58" s="145">
        <f t="shared" si="3"/>
        <v>120000</v>
      </c>
    </row>
    <row r="59" spans="1:14" ht="18" customHeight="1" x14ac:dyDescent="0.25">
      <c r="E59" s="58" t="str">
        <f>'Support and Dev.'!H25</f>
        <v>Аренда офиса</v>
      </c>
      <c r="F59" s="141">
        <f>'Support and Dev.'!L25</f>
        <v>12</v>
      </c>
      <c r="G59" s="142">
        <f>'Support and Dev.'!N25</f>
        <v>24100</v>
      </c>
      <c r="H59" s="143">
        <f>F59*G59/GenAssumptions!$B$10</f>
        <v>4131.4285714285716</v>
      </c>
      <c r="I59" s="143">
        <f>ROUND(IF($I$1="USD",H59,IF($H$1="EUR",H59*GenAssumptions!$B$11,IF($H$1=$K$1,H59/GenAssumptions!$B$10,"ошибка в заполнении блока Курсы валют"))),2)</f>
        <v>4131.43</v>
      </c>
      <c r="J59" s="144">
        <f>IF(I59&gt;0,I59/GenAssumptions!$B$11,0)</f>
        <v>3083.1567164179105</v>
      </c>
      <c r="K59" s="145">
        <f t="shared" si="3"/>
        <v>289200</v>
      </c>
    </row>
    <row r="60" spans="1:14" ht="18" customHeight="1" x14ac:dyDescent="0.25">
      <c r="E60" s="58" t="str">
        <f>'Support and Dev.'!H26</f>
        <v>коммунальные услуги</v>
      </c>
      <c r="F60" s="141">
        <f>'Support and Dev.'!L26</f>
        <v>12</v>
      </c>
      <c r="G60" s="142">
        <f>'Support and Dev.'!N26</f>
        <v>7200</v>
      </c>
      <c r="H60" s="143">
        <f>F60*G60/GenAssumptions!$B$10</f>
        <v>1234.2857142857142</v>
      </c>
      <c r="I60" s="143">
        <f>ROUND(IF($I$1="USD",H60,IF($H$1="EUR",H60*GenAssumptions!$B$11,IF($H$1=$K$1,H60/GenAssumptions!$B$10,"ошибка в заполнении блока Курсы валют"))),2)</f>
        <v>1234.29</v>
      </c>
      <c r="J60" s="144">
        <f>IF(I60&gt;0,I60/GenAssumptions!$B$11,0)</f>
        <v>921.11194029850742</v>
      </c>
      <c r="K60" s="145">
        <f t="shared" si="3"/>
        <v>86400</v>
      </c>
    </row>
    <row r="61" spans="1:14" ht="18" customHeight="1" x14ac:dyDescent="0.25">
      <c r="E61" s="58" t="str">
        <f>'Support and Dev.'!H27</f>
        <v>Услуги связи (интернет, телефон)</v>
      </c>
      <c r="F61" s="141">
        <f>'Support and Dev.'!L27</f>
        <v>12</v>
      </c>
      <c r="G61" s="142">
        <f>'Support and Dev.'!N27</f>
        <v>9000</v>
      </c>
      <c r="H61" s="143">
        <f>F61*G61/GenAssumptions!$B$10</f>
        <v>1542.8571428571429</v>
      </c>
      <c r="I61" s="143">
        <f>ROUND(IF($I$1="USD",H61,IF($H$1="EUR",H61*GenAssumptions!$B$11,IF($H$1=$K$1,H61/GenAssumptions!$B$10,"ошибка в заполнении блока Курсы валют"))),2)</f>
        <v>1542.86</v>
      </c>
      <c r="J61" s="144">
        <f>IF(I61&gt;0,I61/GenAssumptions!$B$11,0)</f>
        <v>1151.3880597014925</v>
      </c>
      <c r="K61" s="145">
        <f t="shared" si="3"/>
        <v>108000</v>
      </c>
    </row>
    <row r="62" spans="1:14" ht="18" customHeight="1" x14ac:dyDescent="0.25">
      <c r="E62" s="58" t="str">
        <f>'Support and Dev.'!H28</f>
        <v>Транспортные расходы (в том числе на мониторинг)</v>
      </c>
      <c r="F62" s="141">
        <f>'Support and Dev.'!L28</f>
        <v>12</v>
      </c>
      <c r="G62" s="142">
        <f>'Support and Dev.'!N28</f>
        <v>20000</v>
      </c>
      <c r="H62" s="143">
        <f>F62*G62/GenAssumptions!$B$10</f>
        <v>3428.5714285714284</v>
      </c>
      <c r="I62" s="143">
        <f>ROUND(IF($I$1="USD",H62,IF($H$1="EUR",H62*GenAssumptions!$B$11,IF($H$1=$K$1,H62/GenAssumptions!$B$10,"ошибка в заполнении блока Курсы валют"))),2)</f>
        <v>3428.57</v>
      </c>
      <c r="J62" s="144">
        <f>IF(I62&gt;0,I62/GenAssumptions!$B$11,0)</f>
        <v>2558.6343283582091</v>
      </c>
      <c r="K62" s="145">
        <f t="shared" si="3"/>
        <v>240000</v>
      </c>
    </row>
    <row r="63" spans="1:14" ht="18" customHeight="1" x14ac:dyDescent="0.25">
      <c r="E63" s="58" t="str">
        <f>'Support and Dev.'!H29</f>
        <v>Инфраструктура и другое оборудование</v>
      </c>
      <c r="F63" s="141">
        <f>'Support and Dev.'!L29</f>
        <v>12</v>
      </c>
      <c r="G63" s="142">
        <f>'Support and Dev.'!N29</f>
        <v>10000</v>
      </c>
      <c r="H63" s="143">
        <f>F63*G63/GenAssumptions!$B$10</f>
        <v>1714.2857142857142</v>
      </c>
      <c r="I63" s="143">
        <f>ROUND(IF($I$1="USD",H63,IF($H$1="EUR",H63*GenAssumptions!$B$11,IF($H$1=$K$1,H63/GenAssumptions!$B$10,"ошибка в заполнении блока Курсы валют"))),2)</f>
        <v>1714.29</v>
      </c>
      <c r="J63" s="144">
        <f>IF(I63&gt;0,I63/GenAssumptions!$B$11,0)</f>
        <v>1279.3208955223879</v>
      </c>
      <c r="K63" s="145">
        <f t="shared" si="3"/>
        <v>120000</v>
      </c>
    </row>
    <row r="64" spans="1:14" ht="18" customHeight="1" x14ac:dyDescent="0.25">
      <c r="E64" s="58" t="str">
        <f>'Support and Dev.'!H30</f>
        <v>Банковские сборы</v>
      </c>
      <c r="F64" s="141">
        <f>'Support and Dev.'!L30</f>
        <v>12</v>
      </c>
      <c r="G64" s="142">
        <f>'Support and Dev.'!N30</f>
        <v>8000</v>
      </c>
      <c r="H64" s="143">
        <f>F64*G64/GenAssumptions!$B$10</f>
        <v>1371.4285714285713</v>
      </c>
      <c r="I64" s="143">
        <f>ROUND(IF($I$1="USD",H64,IF($H$1="EUR",H64*GenAssumptions!$B$11,IF($H$1=$K$1,H64/GenAssumptions!$B$10,"ошибка в заполнении блока Курсы валют"))),2)</f>
        <v>1371.43</v>
      </c>
      <c r="J64" s="144">
        <f>IF(I64&gt;0,I64/GenAssumptions!$B$11,0)</f>
        <v>1023.455223880597</v>
      </c>
      <c r="K64" s="145">
        <f t="shared" si="3"/>
        <v>96000</v>
      </c>
    </row>
    <row r="65" spans="5:14" ht="18" customHeight="1" x14ac:dyDescent="0.25">
      <c r="E65" s="58" t="str">
        <f>'Support and Dev.'!H31</f>
        <v>Канцелярские и хозяйственные товары</v>
      </c>
      <c r="F65" s="141">
        <f>'Support and Dev.'!L31</f>
        <v>12</v>
      </c>
      <c r="G65" s="142">
        <f>'Support and Dev.'!N31</f>
        <v>7000</v>
      </c>
      <c r="H65" s="143">
        <f>F65*G65/GenAssumptions!$B$10</f>
        <v>1200</v>
      </c>
      <c r="I65" s="143">
        <f>ROUND(IF($I$1="USD",H65,IF($H$1="EUR",H65*GenAssumptions!$B$11,IF($H$1=$K$1,H65/GenAssumptions!$B$10,"ошибка в заполнении блока Курсы валют"))),2)</f>
        <v>1200</v>
      </c>
      <c r="J65" s="144">
        <f>IF(I65&gt;0,I65/GenAssumptions!$B$11,0)</f>
        <v>895.52238805970148</v>
      </c>
      <c r="K65" s="145">
        <f t="shared" si="3"/>
        <v>84000</v>
      </c>
    </row>
    <row r="66" spans="5:14" ht="18" customHeight="1" x14ac:dyDescent="0.25">
      <c r="E66" s="58" t="str">
        <f>'Support and Dev.'!H32</f>
        <v>Почтовые услуги</v>
      </c>
      <c r="F66" s="141">
        <f>'Support and Dev.'!L32</f>
        <v>12</v>
      </c>
      <c r="G66" s="142">
        <f>'Support and Dev.'!N32</f>
        <v>1000</v>
      </c>
      <c r="H66" s="143">
        <f>F66*G66/GenAssumptions!$B$10</f>
        <v>171.42857142857142</v>
      </c>
      <c r="I66" s="143">
        <f>ROUND(IF($I$1="USD",H66,IF($H$1="EUR",H66*GenAssumptions!$B$11,IF($H$1=$K$1,H66/GenAssumptions!$B$10,"ошибка в заполнении блока Курсы валют"))),2)</f>
        <v>171.43</v>
      </c>
      <c r="J66" s="144">
        <f>IF(I66&gt;0,I66/GenAssumptions!$B$11,0)</f>
        <v>127.93283582089552</v>
      </c>
      <c r="K66" s="145">
        <f t="shared" si="3"/>
        <v>12000</v>
      </c>
    </row>
    <row r="67" spans="5:14" ht="18" customHeight="1" x14ac:dyDescent="0.25">
      <c r="E67" s="58" t="str">
        <f>'Support and Dev.'!H33</f>
        <v>Расходные материалы для офиса (обслуживание оборудования)</v>
      </c>
      <c r="F67" s="141">
        <f>'Support and Dev.'!L33</f>
        <v>12</v>
      </c>
      <c r="G67" s="142">
        <f>'Support and Dev.'!N33</f>
        <v>5000</v>
      </c>
      <c r="H67" s="143">
        <f>F67*G67/GenAssumptions!$B$10</f>
        <v>857.14285714285711</v>
      </c>
      <c r="I67" s="143">
        <f>ROUND(IF($I$1="USD",H67,IF($H$1="EUR",H67*GenAssumptions!$B$11,IF($H$1=$K$1,H67/GenAssumptions!$B$10,"ошибка в заполнении блока Курсы валют"))),2)</f>
        <v>857.14</v>
      </c>
      <c r="J67" s="144">
        <f>IF(I67&gt;0,I67/GenAssumptions!$B$11,0)</f>
        <v>639.65671641791039</v>
      </c>
      <c r="K67" s="145">
        <f t="shared" si="3"/>
        <v>60000</v>
      </c>
      <c r="N67" s="57">
        <f>SUM(I55:I67,I16:I21)</f>
        <v>64192.06</v>
      </c>
    </row>
    <row r="68" spans="5:14" x14ac:dyDescent="0.25">
      <c r="N68" s="57">
        <f>N67-'Support and Dev.'!O6</f>
        <v>-5149249.9400000004</v>
      </c>
    </row>
    <row r="69" spans="5:14" x14ac:dyDescent="0.25">
      <c r="N69" s="61">
        <f>'Support and Dev.'!O14+'Support and Dev.'!O13</f>
        <v>0</v>
      </c>
    </row>
  </sheetData>
  <sheetProtection algorithmName="SHA-512" hashValue="AqzQtgZAxzlPEbwZmlTcE5PZvnuRjxmwk/CQ+1H5ycMvYkkb6jkI9e4TfuzvDCcDIZowExX8d1WOQWWvckg8rA==" saltValue="Pfk0/84chHQ44D0wuYx2ng==" spinCount="100000" sheet="1" formatCells="0" formatColumns="0" formatRows="0" insertColumns="0" insertRows="0" insertHyperlinks="0" deleteColumns="0" deleteRows="0" autoFilter="0"/>
  <mergeCells count="1">
    <mergeCell ref="D22:G22"/>
  </mergeCells>
  <pageMargins left="0.7" right="0.7" top="0.75" bottom="0.75" header="0.3" footer="0.3"/>
  <pageSetup paperSize="9" scale="4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pageSetUpPr fitToPage="1"/>
  </sheetPr>
  <dimension ref="A1:I67"/>
  <sheetViews>
    <sheetView topLeftCell="A3" zoomScale="93" zoomScaleNormal="70" workbookViewId="0">
      <pane xSplit="1" ySplit="1" topLeftCell="B51" activePane="bottomRight" state="frozen"/>
      <selection activeCell="A3" sqref="A3"/>
      <selection pane="topRight" activeCell="B3" sqref="B3"/>
      <selection pane="bottomLeft" activeCell="A4" sqref="A4"/>
      <selection pane="bottomRight" activeCell="C53" sqref="C53"/>
    </sheetView>
  </sheetViews>
  <sheetFormatPr defaultColWidth="8.85546875" defaultRowHeight="15" outlineLevelCol="1" x14ac:dyDescent="0.25"/>
  <cols>
    <col min="1" max="2" width="7.140625" style="151" customWidth="1"/>
    <col min="3" max="3" width="36.42578125" style="151" customWidth="1"/>
    <col min="4" max="4" width="24.140625" style="151" customWidth="1"/>
    <col min="5" max="5" width="24.140625" style="151" hidden="1" customWidth="1" outlineLevel="1"/>
    <col min="6" max="6" width="33.140625" style="151" customWidth="1" collapsed="1"/>
    <col min="7" max="7" width="33.140625" style="151" customWidth="1"/>
    <col min="8" max="16384" width="8.85546875" style="46"/>
  </cols>
  <sheetData>
    <row r="1" spans="1:9" ht="16.5" x14ac:dyDescent="0.25">
      <c r="A1" s="148"/>
      <c r="B1" s="148"/>
      <c r="C1" s="148"/>
      <c r="D1" s="148"/>
      <c r="E1" s="148"/>
      <c r="F1" s="148"/>
      <c r="G1" s="148"/>
    </row>
    <row r="2" spans="1:9" ht="4.5" customHeight="1" x14ac:dyDescent="0.25">
      <c r="A2" s="148"/>
      <c r="B2" s="148"/>
      <c r="C2" s="148"/>
      <c r="D2" s="148"/>
      <c r="E2" s="148"/>
      <c r="F2" s="148"/>
      <c r="G2" s="148"/>
    </row>
    <row r="3" spans="1:9" ht="33.950000000000003" customHeight="1" x14ac:dyDescent="0.25">
      <c r="A3" s="192" t="s">
        <v>16</v>
      </c>
      <c r="B3" s="193"/>
      <c r="C3" s="193"/>
      <c r="D3" s="193"/>
      <c r="E3" s="193"/>
      <c r="F3" s="193"/>
      <c r="G3" s="193"/>
    </row>
    <row r="4" spans="1:9" ht="16.5" x14ac:dyDescent="0.25">
      <c r="A4" s="148"/>
      <c r="B4" s="148"/>
      <c r="C4" s="148"/>
      <c r="D4" s="148"/>
      <c r="E4" s="148"/>
      <c r="F4" s="148"/>
      <c r="G4" s="148"/>
    </row>
    <row r="5" spans="1:9" ht="18.95" customHeight="1" x14ac:dyDescent="0.25">
      <c r="A5" s="194" t="s">
        <v>18</v>
      </c>
      <c r="B5" s="195"/>
      <c r="C5" s="195"/>
      <c r="D5" s="195"/>
      <c r="E5" s="195"/>
      <c r="F5" s="195"/>
      <c r="G5" s="195"/>
    </row>
    <row r="6" spans="1:9" ht="16.5" hidden="1" x14ac:dyDescent="0.25">
      <c r="A6" s="148"/>
      <c r="B6" s="149" t="s">
        <v>144</v>
      </c>
      <c r="C6" s="148"/>
      <c r="D6" s="148"/>
      <c r="E6" s="148" t="s">
        <v>103</v>
      </c>
      <c r="F6" s="148"/>
      <c r="G6" s="148"/>
    </row>
    <row r="7" spans="1:9" ht="16.5" hidden="1" x14ac:dyDescent="0.25">
      <c r="A7" s="148"/>
      <c r="B7" s="149" t="s">
        <v>145</v>
      </c>
      <c r="C7" s="148"/>
      <c r="D7" s="148"/>
      <c r="E7" s="148" t="s">
        <v>104</v>
      </c>
      <c r="F7" s="148"/>
      <c r="G7" s="148"/>
    </row>
    <row r="8" spans="1:9" ht="16.5" x14ac:dyDescent="0.25">
      <c r="A8" s="148"/>
      <c r="B8" s="196" t="s">
        <v>319</v>
      </c>
      <c r="C8" s="148" t="s">
        <v>137</v>
      </c>
      <c r="D8" s="148"/>
      <c r="E8" s="148"/>
      <c r="F8" s="148"/>
      <c r="G8" s="148"/>
    </row>
    <row r="9" spans="1:9" ht="16.5" x14ac:dyDescent="0.25">
      <c r="A9" s="148"/>
      <c r="B9" s="197" t="s">
        <v>145</v>
      </c>
      <c r="C9" s="148" t="s">
        <v>20</v>
      </c>
      <c r="D9" s="148"/>
      <c r="E9" s="148"/>
      <c r="F9" s="148"/>
      <c r="G9" s="148"/>
    </row>
    <row r="10" spans="1:9" ht="16.5" x14ac:dyDescent="0.25">
      <c r="A10" s="148"/>
      <c r="B10" s="198">
        <v>70</v>
      </c>
      <c r="C10" s="148" t="str">
        <f>"Курс "&amp;B8&amp;"/USD"</f>
        <v>Курс RUB/USD</v>
      </c>
      <c r="D10" s="148"/>
      <c r="E10" s="148"/>
      <c r="F10" s="148"/>
      <c r="G10" s="148"/>
    </row>
    <row r="11" spans="1:9" ht="16.5" x14ac:dyDescent="0.25">
      <c r="A11" s="148"/>
      <c r="B11" s="198">
        <v>1.34</v>
      </c>
      <c r="C11" s="148" t="s">
        <v>146</v>
      </c>
      <c r="D11" s="148"/>
      <c r="E11" s="148"/>
      <c r="F11" s="148"/>
      <c r="G11" s="148"/>
    </row>
    <row r="12" spans="1:9" ht="16.5" x14ac:dyDescent="0.25">
      <c r="A12" s="148"/>
      <c r="B12" s="148"/>
      <c r="C12" s="148"/>
      <c r="D12" s="148"/>
      <c r="E12" s="148"/>
      <c r="F12" s="148"/>
      <c r="G12" s="148"/>
    </row>
    <row r="13" spans="1:9" ht="18.95" customHeight="1" x14ac:dyDescent="0.25">
      <c r="A13" s="194" t="s">
        <v>147</v>
      </c>
      <c r="B13" s="195"/>
      <c r="C13" s="195"/>
      <c r="D13" s="195"/>
      <c r="E13" s="195"/>
      <c r="F13" s="195"/>
      <c r="G13" s="195"/>
    </row>
    <row r="14" spans="1:9" ht="33" customHeight="1" x14ac:dyDescent="0.25">
      <c r="A14" s="150"/>
      <c r="B14" s="150"/>
      <c r="C14" s="90" t="s">
        <v>363</v>
      </c>
      <c r="D14" s="199">
        <v>0.6</v>
      </c>
      <c r="E14" s="199"/>
      <c r="F14" s="152" t="s">
        <v>201</v>
      </c>
      <c r="G14" s="152" t="s">
        <v>260</v>
      </c>
      <c r="H14" s="48"/>
      <c r="I14" s="48"/>
    </row>
    <row r="15" spans="1:9" ht="33" x14ac:dyDescent="0.25">
      <c r="A15" s="150"/>
      <c r="B15" s="150"/>
      <c r="C15" s="153" t="s">
        <v>364</v>
      </c>
      <c r="D15" s="200"/>
      <c r="E15" s="200"/>
      <c r="F15" s="154" t="s">
        <v>201</v>
      </c>
      <c r="G15" s="154"/>
      <c r="H15" s="48"/>
      <c r="I15" s="48"/>
    </row>
    <row r="16" spans="1:9" ht="38.25" x14ac:dyDescent="0.25">
      <c r="A16" s="150"/>
      <c r="B16" s="148"/>
      <c r="C16" s="153" t="s">
        <v>317</v>
      </c>
      <c r="D16" s="201">
        <v>1000</v>
      </c>
      <c r="E16" s="201">
        <f>D16</f>
        <v>1000</v>
      </c>
      <c r="F16" s="154" t="s">
        <v>154</v>
      </c>
      <c r="G16" s="154"/>
    </row>
    <row r="17" spans="1:9" ht="16.5" x14ac:dyDescent="0.25">
      <c r="A17" s="150"/>
      <c r="B17" s="148"/>
      <c r="C17" s="155" t="s">
        <v>200</v>
      </c>
      <c r="D17" s="202">
        <f>E17</f>
        <v>0.05</v>
      </c>
      <c r="E17" s="202">
        <v>0.05</v>
      </c>
      <c r="F17" s="156" t="s">
        <v>205</v>
      </c>
      <c r="G17" s="156"/>
    </row>
    <row r="18" spans="1:9" ht="16.5" x14ac:dyDescent="0.25">
      <c r="A18" s="150"/>
      <c r="B18" s="150"/>
      <c r="C18" s="150"/>
      <c r="D18" s="150"/>
      <c r="E18" s="150"/>
      <c r="F18" s="150"/>
      <c r="G18" s="150"/>
      <c r="H18" s="48"/>
      <c r="I18" s="48"/>
    </row>
    <row r="19" spans="1:9" ht="18.95" customHeight="1" x14ac:dyDescent="0.25">
      <c r="A19" s="194" t="s">
        <v>202</v>
      </c>
      <c r="B19" s="195"/>
      <c r="C19" s="195"/>
      <c r="D19" s="195"/>
      <c r="E19" s="195"/>
      <c r="F19" s="195"/>
      <c r="G19" s="195"/>
    </row>
    <row r="20" spans="1:9" ht="66" x14ac:dyDescent="0.25">
      <c r="A20" s="205"/>
      <c r="B20" s="206" t="s">
        <v>24</v>
      </c>
      <c r="C20" s="206" t="s">
        <v>17</v>
      </c>
      <c r="D20" s="206" t="str">
        <f>"Средняя заработная плата за полный месяц, включая налоги, соц. выплаты и т.д., "&amp;B8</f>
        <v>Средняя заработная плата за полный месяц, включая налоги, соц. выплаты и т.д., RUB</v>
      </c>
      <c r="E20" s="206" t="str">
        <f>"Средняя заработная плата за полный месяц, включая налоги, соц. выплаты и т.д., "&amp;B9</f>
        <v>Средняя заработная плата за полный месяц, включая налоги, соц. выплаты и т.д., USD</v>
      </c>
      <c r="F20" s="206" t="s">
        <v>132</v>
      </c>
      <c r="G20" s="206"/>
    </row>
    <row r="21" spans="1:9" ht="14.1" customHeight="1" x14ac:dyDescent="0.25">
      <c r="A21" s="148"/>
      <c r="B21" s="147">
        <v>1</v>
      </c>
      <c r="C21" s="147" t="s">
        <v>19</v>
      </c>
      <c r="D21" s="203">
        <v>38069</v>
      </c>
      <c r="E21" s="203">
        <f>ROUND(D21/$B$10,2)</f>
        <v>543.84</v>
      </c>
      <c r="F21" s="147"/>
      <c r="G21" s="147"/>
      <c r="H21" s="56"/>
    </row>
    <row r="22" spans="1:9" ht="14.1" customHeight="1" x14ac:dyDescent="0.25">
      <c r="A22" s="148"/>
      <c r="B22" s="157">
        <v>2</v>
      </c>
      <c r="C22" s="157" t="s">
        <v>23</v>
      </c>
      <c r="D22" s="203">
        <v>38069</v>
      </c>
      <c r="E22" s="203">
        <f t="shared" ref="E22:E32" si="0">ROUND(D22/$B$10,2)</f>
        <v>543.84</v>
      </c>
      <c r="F22" s="157"/>
      <c r="G22" s="157"/>
      <c r="H22" s="56"/>
    </row>
    <row r="23" spans="1:9" ht="14.1" customHeight="1" x14ac:dyDescent="0.25">
      <c r="A23" s="148"/>
      <c r="B23" s="157">
        <v>3</v>
      </c>
      <c r="C23" s="157" t="s">
        <v>21</v>
      </c>
      <c r="D23" s="203">
        <v>0</v>
      </c>
      <c r="E23" s="203">
        <f t="shared" si="0"/>
        <v>0</v>
      </c>
      <c r="F23" s="157"/>
      <c r="G23" s="157"/>
      <c r="H23" s="56"/>
    </row>
    <row r="24" spans="1:9" ht="14.1" customHeight="1" x14ac:dyDescent="0.25">
      <c r="A24" s="148"/>
      <c r="B24" s="157">
        <v>4</v>
      </c>
      <c r="C24" s="157" t="s">
        <v>22</v>
      </c>
      <c r="D24" s="203">
        <v>38069</v>
      </c>
      <c r="E24" s="203">
        <f t="shared" si="0"/>
        <v>543.84</v>
      </c>
      <c r="F24" s="157"/>
      <c r="G24" s="157"/>
      <c r="H24" s="56"/>
    </row>
    <row r="25" spans="1:9" ht="14.1" customHeight="1" x14ac:dyDescent="0.25">
      <c r="A25" s="148"/>
      <c r="B25" s="157">
        <v>5</v>
      </c>
      <c r="C25" s="157" t="s">
        <v>25</v>
      </c>
      <c r="D25" s="203">
        <v>25000</v>
      </c>
      <c r="E25" s="203">
        <f t="shared" si="0"/>
        <v>357.14</v>
      </c>
      <c r="F25" s="157"/>
      <c r="G25" s="157"/>
      <c r="H25" s="56"/>
    </row>
    <row r="26" spans="1:9" ht="14.1" customHeight="1" x14ac:dyDescent="0.25">
      <c r="A26" s="148"/>
      <c r="B26" s="157">
        <v>6</v>
      </c>
      <c r="C26" s="157" t="s">
        <v>26</v>
      </c>
      <c r="D26" s="203">
        <v>25000</v>
      </c>
      <c r="E26" s="203">
        <f t="shared" si="0"/>
        <v>357.14</v>
      </c>
      <c r="F26" s="157"/>
      <c r="G26" s="157"/>
      <c r="H26" s="56"/>
    </row>
    <row r="27" spans="1:9" ht="14.1" customHeight="1" x14ac:dyDescent="0.25">
      <c r="A27" s="148"/>
      <c r="B27" s="157">
        <v>7</v>
      </c>
      <c r="C27" s="157" t="s">
        <v>252</v>
      </c>
      <c r="D27" s="203">
        <v>38069</v>
      </c>
      <c r="E27" s="203">
        <f t="shared" si="0"/>
        <v>543.84</v>
      </c>
      <c r="F27" s="157"/>
      <c r="G27" s="157"/>
      <c r="H27" s="56"/>
    </row>
    <row r="28" spans="1:9" ht="14.1" customHeight="1" x14ac:dyDescent="0.25">
      <c r="A28" s="148"/>
      <c r="B28" s="157">
        <v>8</v>
      </c>
      <c r="C28" s="157" t="s">
        <v>321</v>
      </c>
      <c r="D28" s="204">
        <v>54394</v>
      </c>
      <c r="E28" s="203">
        <f t="shared" si="0"/>
        <v>777.06</v>
      </c>
      <c r="F28" s="157"/>
      <c r="G28" s="157"/>
    </row>
    <row r="29" spans="1:9" ht="14.1" customHeight="1" x14ac:dyDescent="0.25">
      <c r="A29" s="148"/>
      <c r="B29" s="157">
        <v>9</v>
      </c>
      <c r="C29" s="157" t="s">
        <v>155</v>
      </c>
      <c r="D29" s="204">
        <v>43558</v>
      </c>
      <c r="E29" s="203">
        <f t="shared" si="0"/>
        <v>622.26</v>
      </c>
      <c r="F29" s="157"/>
      <c r="G29" s="157"/>
    </row>
    <row r="30" spans="1:9" ht="14.1" customHeight="1" x14ac:dyDescent="0.25">
      <c r="A30" s="148"/>
      <c r="B30" s="157">
        <v>10</v>
      </c>
      <c r="C30" s="157" t="s">
        <v>320</v>
      </c>
      <c r="D30" s="204">
        <v>87045</v>
      </c>
      <c r="E30" s="203">
        <f t="shared" si="0"/>
        <v>1243.5</v>
      </c>
      <c r="F30" s="157"/>
      <c r="G30" s="157"/>
    </row>
    <row r="31" spans="1:9" ht="14.1" customHeight="1" x14ac:dyDescent="0.25">
      <c r="A31" s="148"/>
      <c r="B31" s="157">
        <v>11</v>
      </c>
      <c r="C31" s="157" t="s">
        <v>322</v>
      </c>
      <c r="D31" s="204">
        <v>43558</v>
      </c>
      <c r="E31" s="203">
        <f t="shared" si="0"/>
        <v>622.26</v>
      </c>
      <c r="F31" s="157"/>
      <c r="G31" s="157"/>
    </row>
    <row r="32" spans="1:9" ht="14.1" customHeight="1" x14ac:dyDescent="0.25">
      <c r="A32" s="148"/>
      <c r="B32" s="157">
        <v>12</v>
      </c>
      <c r="C32" s="157" t="s">
        <v>323</v>
      </c>
      <c r="D32" s="204">
        <v>54394</v>
      </c>
      <c r="E32" s="203">
        <f t="shared" si="0"/>
        <v>777.06</v>
      </c>
      <c r="F32" s="157"/>
      <c r="G32" s="157"/>
    </row>
    <row r="33" spans="1:7" ht="14.1" customHeight="1" x14ac:dyDescent="0.25">
      <c r="A33" s="148"/>
      <c r="B33" s="148"/>
      <c r="C33" s="148"/>
      <c r="D33" s="198"/>
      <c r="E33" s="198"/>
      <c r="F33" s="148"/>
      <c r="G33" s="148"/>
    </row>
    <row r="34" spans="1:7" ht="14.25" customHeight="1" x14ac:dyDescent="0.25">
      <c r="A34" s="148"/>
      <c r="B34" s="148"/>
      <c r="C34" s="148"/>
      <c r="D34" s="148"/>
      <c r="E34" s="148"/>
      <c r="F34" s="148"/>
      <c r="G34" s="148"/>
    </row>
    <row r="35" spans="1:7" ht="18.95" customHeight="1" x14ac:dyDescent="0.25">
      <c r="A35" s="194" t="s">
        <v>206</v>
      </c>
      <c r="B35" s="195"/>
      <c r="C35" s="195"/>
      <c r="D35" s="195"/>
      <c r="E35" s="195"/>
      <c r="F35" s="195"/>
      <c r="G35" s="195"/>
    </row>
    <row r="36" spans="1:7" ht="33" x14ac:dyDescent="0.25">
      <c r="A36" s="205"/>
      <c r="B36" s="206" t="s">
        <v>24</v>
      </c>
      <c r="C36" s="206" t="s">
        <v>87</v>
      </c>
      <c r="D36" s="206" t="str">
        <f>"Стоимость за единицу, "&amp;B8</f>
        <v>Стоимость за единицу, RUB</v>
      </c>
      <c r="E36" s="206" t="str">
        <f>"Стоимость за единицу, "&amp;B9</f>
        <v>Стоимость за единицу, USD</v>
      </c>
      <c r="F36" s="206" t="s">
        <v>132</v>
      </c>
      <c r="G36" s="206"/>
    </row>
    <row r="37" spans="1:7" ht="16.5" x14ac:dyDescent="0.25">
      <c r="A37" s="148"/>
      <c r="B37" s="91">
        <v>1</v>
      </c>
      <c r="C37" s="90" t="s">
        <v>133</v>
      </c>
      <c r="D37" s="397">
        <v>3.8803792800000001</v>
      </c>
      <c r="E37" s="203">
        <f>ROUND(D37/$B$10,2)</f>
        <v>0.06</v>
      </c>
      <c r="F37" s="147"/>
      <c r="G37" s="147"/>
    </row>
    <row r="38" spans="1:7" ht="16.5" x14ac:dyDescent="0.25">
      <c r="A38" s="148"/>
      <c r="B38" s="158">
        <v>2</v>
      </c>
      <c r="C38" s="153" t="s">
        <v>91</v>
      </c>
      <c r="D38" s="397">
        <v>5</v>
      </c>
      <c r="E38" s="203">
        <f t="shared" ref="E38:E67" si="1">ROUND(D38/$B$10,2)</f>
        <v>7.0000000000000007E-2</v>
      </c>
      <c r="F38" s="157"/>
      <c r="G38" s="157"/>
    </row>
    <row r="39" spans="1:7" ht="16.5" x14ac:dyDescent="0.25">
      <c r="A39" s="148"/>
      <c r="B39" s="158">
        <v>3</v>
      </c>
      <c r="C39" s="153" t="s">
        <v>92</v>
      </c>
      <c r="D39" s="397">
        <v>0.48504741000000001</v>
      </c>
      <c r="E39" s="203">
        <f>ROUND(D39/$B$10,2)</f>
        <v>0.01</v>
      </c>
      <c r="F39" s="157"/>
      <c r="G39" s="157"/>
    </row>
    <row r="40" spans="1:7" ht="16.5" x14ac:dyDescent="0.25">
      <c r="A40" s="148"/>
      <c r="B40" s="158">
        <v>4</v>
      </c>
      <c r="C40" s="153" t="s">
        <v>99</v>
      </c>
      <c r="D40" s="397">
        <v>5</v>
      </c>
      <c r="E40" s="203">
        <f t="shared" si="1"/>
        <v>7.0000000000000007E-2</v>
      </c>
      <c r="F40" s="157"/>
      <c r="G40" s="157"/>
    </row>
    <row r="41" spans="1:7" ht="16.5" x14ac:dyDescent="0.25">
      <c r="A41" s="148"/>
      <c r="B41" s="158">
        <v>5</v>
      </c>
      <c r="C41" s="369" t="s">
        <v>325</v>
      </c>
      <c r="D41" s="397">
        <v>48.504741000000003</v>
      </c>
      <c r="E41" s="203">
        <f t="shared" si="1"/>
        <v>0.69</v>
      </c>
      <c r="F41" s="157"/>
      <c r="G41" s="157"/>
    </row>
    <row r="42" spans="1:7" ht="16.5" x14ac:dyDescent="0.25">
      <c r="A42" s="148"/>
      <c r="B42" s="158">
        <v>6</v>
      </c>
      <c r="C42" s="153" t="s">
        <v>95</v>
      </c>
      <c r="D42" s="397">
        <v>350</v>
      </c>
      <c r="E42" s="203">
        <f t="shared" si="1"/>
        <v>5</v>
      </c>
      <c r="F42" s="157"/>
      <c r="G42" s="157"/>
    </row>
    <row r="43" spans="1:7" ht="16.5" x14ac:dyDescent="0.25">
      <c r="A43" s="148"/>
      <c r="B43" s="158">
        <v>7</v>
      </c>
      <c r="C43" s="153" t="s">
        <v>109</v>
      </c>
      <c r="D43" s="397">
        <v>32.336494000000002</v>
      </c>
      <c r="E43" s="203">
        <f t="shared" si="1"/>
        <v>0.46</v>
      </c>
      <c r="F43" s="157"/>
      <c r="G43" s="157"/>
    </row>
    <row r="44" spans="1:7" ht="16.5" x14ac:dyDescent="0.25">
      <c r="A44" s="148"/>
      <c r="B44" s="158">
        <v>8</v>
      </c>
      <c r="C44" s="404" t="s">
        <v>94</v>
      </c>
      <c r="D44" s="397"/>
      <c r="E44" s="203">
        <f t="shared" si="1"/>
        <v>0</v>
      </c>
      <c r="F44" s="157"/>
      <c r="G44" s="157"/>
    </row>
    <row r="45" spans="1:7" ht="16.5" x14ac:dyDescent="0.25">
      <c r="A45" s="148"/>
      <c r="B45" s="158">
        <v>9</v>
      </c>
      <c r="C45" s="404" t="s">
        <v>93</v>
      </c>
      <c r="D45" s="397"/>
      <c r="E45" s="203">
        <f t="shared" si="1"/>
        <v>0</v>
      </c>
      <c r="F45" s="157"/>
      <c r="G45" s="157"/>
    </row>
    <row r="46" spans="1:7" ht="16.5" x14ac:dyDescent="0.25">
      <c r="A46" s="148"/>
      <c r="B46" s="158">
        <v>10</v>
      </c>
      <c r="C46" s="370" t="s">
        <v>97</v>
      </c>
      <c r="D46" s="397">
        <v>0</v>
      </c>
      <c r="E46" s="203">
        <f t="shared" si="1"/>
        <v>0</v>
      </c>
      <c r="F46" s="157"/>
      <c r="G46" s="157"/>
    </row>
    <row r="47" spans="1:7" ht="16.5" x14ac:dyDescent="0.25">
      <c r="A47" s="148"/>
      <c r="B47" s="158">
        <v>11</v>
      </c>
      <c r="C47" s="370" t="s">
        <v>98</v>
      </c>
      <c r="D47" s="397">
        <v>0</v>
      </c>
      <c r="E47" s="203">
        <f t="shared" si="1"/>
        <v>0</v>
      </c>
      <c r="F47" s="157"/>
      <c r="G47" s="157"/>
    </row>
    <row r="48" spans="1:7" ht="16.5" x14ac:dyDescent="0.25">
      <c r="A48" s="148"/>
      <c r="B48" s="158">
        <v>12</v>
      </c>
      <c r="C48" s="370" t="s">
        <v>96</v>
      </c>
      <c r="D48" s="397"/>
      <c r="E48" s="203">
        <f t="shared" si="1"/>
        <v>0</v>
      </c>
      <c r="F48" s="157"/>
      <c r="G48" s="157"/>
    </row>
    <row r="49" spans="1:7" ht="16.5" x14ac:dyDescent="0.25">
      <c r="A49" s="148"/>
      <c r="B49" s="158">
        <v>13</v>
      </c>
      <c r="C49" s="370" t="s">
        <v>100</v>
      </c>
      <c r="D49" s="397">
        <v>0</v>
      </c>
      <c r="E49" s="203">
        <f t="shared" si="1"/>
        <v>0</v>
      </c>
      <c r="F49" s="157"/>
      <c r="G49" s="157"/>
    </row>
    <row r="50" spans="1:7" ht="16.5" x14ac:dyDescent="0.25">
      <c r="A50" s="148"/>
      <c r="B50" s="158">
        <v>14</v>
      </c>
      <c r="C50" s="153" t="s">
        <v>324</v>
      </c>
      <c r="D50" s="397">
        <v>64.672988000000004</v>
      </c>
      <c r="E50" s="203">
        <f t="shared" si="1"/>
        <v>0.92</v>
      </c>
      <c r="F50" s="157"/>
      <c r="G50" s="157"/>
    </row>
    <row r="51" spans="1:7" ht="16.5" x14ac:dyDescent="0.25">
      <c r="A51" s="148"/>
      <c r="B51" s="158">
        <v>15</v>
      </c>
      <c r="C51" s="370" t="s">
        <v>101</v>
      </c>
      <c r="D51" s="397">
        <v>0</v>
      </c>
      <c r="E51" s="203">
        <f t="shared" si="1"/>
        <v>0</v>
      </c>
      <c r="F51" s="157"/>
      <c r="G51" s="157"/>
    </row>
    <row r="52" spans="1:7" ht="16.5" x14ac:dyDescent="0.25">
      <c r="A52" s="148"/>
      <c r="B52" s="158">
        <v>16</v>
      </c>
      <c r="C52" s="370" t="s">
        <v>88</v>
      </c>
      <c r="D52" s="397">
        <v>0</v>
      </c>
      <c r="E52" s="203">
        <f t="shared" si="1"/>
        <v>0</v>
      </c>
      <c r="F52" s="157"/>
      <c r="G52" s="157"/>
    </row>
    <row r="53" spans="1:7" ht="16.5" x14ac:dyDescent="0.25">
      <c r="A53" s="148"/>
      <c r="B53" s="158">
        <v>17</v>
      </c>
      <c r="C53" s="369" t="s">
        <v>89</v>
      </c>
      <c r="D53" s="397">
        <v>6000</v>
      </c>
      <c r="E53" s="203">
        <f t="shared" si="1"/>
        <v>85.71</v>
      </c>
      <c r="F53" s="157"/>
      <c r="G53" s="157"/>
    </row>
    <row r="54" spans="1:7" ht="16.5" x14ac:dyDescent="0.25">
      <c r="A54" s="148"/>
      <c r="B54" s="158">
        <v>18</v>
      </c>
      <c r="C54" s="370" t="s">
        <v>90</v>
      </c>
      <c r="D54" s="397"/>
      <c r="E54" s="203">
        <f t="shared" si="1"/>
        <v>0</v>
      </c>
      <c r="F54" s="157"/>
      <c r="G54" s="157"/>
    </row>
    <row r="55" spans="1:7" ht="16.5" x14ac:dyDescent="0.25">
      <c r="A55" s="148"/>
      <c r="B55" s="158">
        <v>19</v>
      </c>
      <c r="C55" s="370" t="s">
        <v>78</v>
      </c>
      <c r="D55" s="397"/>
      <c r="E55" s="203">
        <f t="shared" si="1"/>
        <v>0</v>
      </c>
      <c r="F55" s="157"/>
      <c r="G55" s="157"/>
    </row>
    <row r="56" spans="1:7" ht="16.5" x14ac:dyDescent="0.25">
      <c r="A56" s="148"/>
      <c r="B56" s="158">
        <v>20</v>
      </c>
      <c r="C56" s="370" t="s">
        <v>134</v>
      </c>
      <c r="D56" s="397">
        <v>0</v>
      </c>
      <c r="E56" s="203">
        <f t="shared" si="1"/>
        <v>0</v>
      </c>
      <c r="F56" s="157"/>
      <c r="G56" s="157"/>
    </row>
    <row r="57" spans="1:7" ht="16.5" x14ac:dyDescent="0.25">
      <c r="A57" s="148"/>
      <c r="B57" s="158">
        <v>21</v>
      </c>
      <c r="C57" s="370" t="s">
        <v>135</v>
      </c>
      <c r="D57" s="397">
        <v>0</v>
      </c>
      <c r="E57" s="203">
        <f t="shared" si="1"/>
        <v>0</v>
      </c>
      <c r="F57" s="157"/>
      <c r="G57" s="157"/>
    </row>
    <row r="58" spans="1:7" ht="33" x14ac:dyDescent="0.25">
      <c r="A58" s="148"/>
      <c r="B58" s="158">
        <v>22</v>
      </c>
      <c r="C58" s="370" t="s">
        <v>171</v>
      </c>
      <c r="D58" s="397">
        <v>0</v>
      </c>
      <c r="E58" s="203">
        <f t="shared" si="1"/>
        <v>0</v>
      </c>
      <c r="F58" s="224" t="s">
        <v>297</v>
      </c>
      <c r="G58" s="157"/>
    </row>
    <row r="59" spans="1:7" ht="16.5" x14ac:dyDescent="0.25">
      <c r="A59" s="148"/>
      <c r="B59" s="158">
        <v>23</v>
      </c>
      <c r="C59" s="370" t="s">
        <v>113</v>
      </c>
      <c r="D59" s="397">
        <v>0</v>
      </c>
      <c r="E59" s="203">
        <f t="shared" si="1"/>
        <v>0</v>
      </c>
      <c r="F59" s="157"/>
      <c r="G59" s="157"/>
    </row>
    <row r="60" spans="1:7" ht="33" x14ac:dyDescent="0.25">
      <c r="A60" s="148"/>
      <c r="B60" s="158">
        <v>24</v>
      </c>
      <c r="C60" s="370" t="s">
        <v>303</v>
      </c>
      <c r="D60" s="397">
        <v>0</v>
      </c>
      <c r="E60" s="203">
        <f t="shared" si="1"/>
        <v>0</v>
      </c>
      <c r="F60" s="157"/>
      <c r="G60" s="157"/>
    </row>
    <row r="61" spans="1:7" ht="16.5" x14ac:dyDescent="0.25">
      <c r="A61" s="148"/>
      <c r="B61" s="158">
        <v>25</v>
      </c>
      <c r="C61" s="370" t="s">
        <v>108</v>
      </c>
      <c r="D61" s="397">
        <v>0</v>
      </c>
      <c r="E61" s="203">
        <f t="shared" si="1"/>
        <v>0</v>
      </c>
      <c r="F61" s="224" t="s">
        <v>297</v>
      </c>
      <c r="G61" s="157"/>
    </row>
    <row r="62" spans="1:7" ht="33" x14ac:dyDescent="0.25">
      <c r="A62" s="148"/>
      <c r="B62" s="158">
        <v>26</v>
      </c>
      <c r="C62" s="370" t="s">
        <v>116</v>
      </c>
      <c r="D62" s="397">
        <v>0</v>
      </c>
      <c r="E62" s="203">
        <f t="shared" si="1"/>
        <v>0</v>
      </c>
      <c r="F62" s="157"/>
      <c r="G62" s="157"/>
    </row>
    <row r="63" spans="1:7" ht="16.5" x14ac:dyDescent="0.25">
      <c r="A63" s="148"/>
      <c r="B63" s="158">
        <v>27</v>
      </c>
      <c r="C63" s="370" t="s">
        <v>115</v>
      </c>
      <c r="D63" s="397">
        <v>0</v>
      </c>
      <c r="E63" s="203">
        <f t="shared" si="1"/>
        <v>0</v>
      </c>
      <c r="F63" s="157"/>
      <c r="G63" s="157"/>
    </row>
    <row r="64" spans="1:7" ht="16.5" x14ac:dyDescent="0.25">
      <c r="A64" s="148"/>
      <c r="B64" s="158">
        <v>28</v>
      </c>
      <c r="C64" s="370" t="s">
        <v>136</v>
      </c>
      <c r="D64" s="397">
        <v>0</v>
      </c>
      <c r="E64" s="203">
        <f t="shared" si="1"/>
        <v>0</v>
      </c>
      <c r="F64" s="157"/>
      <c r="G64" s="157"/>
    </row>
    <row r="65" spans="1:7" ht="16.5" x14ac:dyDescent="0.25">
      <c r="A65" s="148"/>
      <c r="B65" s="158">
        <v>29</v>
      </c>
      <c r="C65" s="153" t="s">
        <v>114</v>
      </c>
      <c r="D65" s="397">
        <v>30</v>
      </c>
      <c r="E65" s="203">
        <f t="shared" si="1"/>
        <v>0.43</v>
      </c>
      <c r="F65" s="157"/>
      <c r="G65" s="157"/>
    </row>
    <row r="66" spans="1:7" ht="16.5" x14ac:dyDescent="0.25">
      <c r="A66" s="148"/>
      <c r="B66" s="158">
        <v>30</v>
      </c>
      <c r="C66" s="153"/>
      <c r="D66" s="397"/>
      <c r="E66" s="203">
        <f t="shared" si="1"/>
        <v>0</v>
      </c>
      <c r="F66" s="157"/>
      <c r="G66" s="157"/>
    </row>
    <row r="67" spans="1:7" ht="16.5" x14ac:dyDescent="0.25">
      <c r="A67" s="148"/>
      <c r="B67" s="158">
        <v>31</v>
      </c>
      <c r="C67" s="153"/>
      <c r="D67" s="368"/>
      <c r="E67" s="203">
        <f t="shared" si="1"/>
        <v>0</v>
      </c>
      <c r="F67" s="157"/>
      <c r="G67" s="157"/>
    </row>
  </sheetData>
  <sheetProtection algorithmName="SHA-512" hashValue="AsmwqjmJU2Oj34H5Vs4l/XnGl2ZDzyCdSlJYtUnYnbscgWvtvC+tLwYMdXZwANDHzj6snn2xlknGQu0k08eAmg==" saltValue="9RxeVV1MBeXBMZWDecAd+Q==" spinCount="100000" sheet="1" objects="1" scenarios="1"/>
  <dataValidations count="1">
    <dataValidation type="list" allowBlank="1" showInputMessage="1" showErrorMessage="1" prompt="Выберете валюту из списка" sqref="B9" xr:uid="{00000000-0002-0000-0200-000000000000}">
      <formula1>$B$6:$B$8</formula1>
    </dataValidation>
  </dataValidations>
  <pageMargins left="0.7" right="0.7" top="0.75" bottom="0.75" header="0.3" footer="0.3"/>
  <pageSetup paperSize="9" scale="53" fitToHeight="0"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B1:AB55"/>
  <sheetViews>
    <sheetView topLeftCell="B1" zoomScale="85" zoomScaleNormal="85" zoomScalePageLayoutView="75" workbookViewId="0">
      <pane xSplit="6" ySplit="5" topLeftCell="J45" activePane="bottomRight" state="frozen"/>
      <selection activeCell="G1" sqref="G1"/>
      <selection pane="topRight" activeCell="H1" sqref="H1"/>
      <selection pane="bottomLeft" activeCell="G6" sqref="G6"/>
      <selection pane="bottomRight" activeCell="K49" sqref="K49"/>
    </sheetView>
  </sheetViews>
  <sheetFormatPr defaultColWidth="8.85546875" defaultRowHeight="16.5" outlineLevelRow="1" outlineLevelCol="1" x14ac:dyDescent="0.3"/>
  <cols>
    <col min="1" max="1" width="8.85546875" style="121"/>
    <col min="2" max="2" width="5.7109375" style="121" hidden="1" customWidth="1" outlineLevel="1"/>
    <col min="3" max="4" width="4.140625" style="121" hidden="1" customWidth="1" outlineLevel="1"/>
    <col min="5" max="5" width="5.7109375" style="121" hidden="1" customWidth="1" outlineLevel="1"/>
    <col min="6" max="6" width="4.140625" style="121" hidden="1" customWidth="1" outlineLevel="1"/>
    <col min="7" max="7" width="7.42578125" style="122" customWidth="1" collapsed="1"/>
    <col min="8" max="8" width="29.42578125" style="122" customWidth="1"/>
    <col min="9" max="9" width="30.85546875" style="159" customWidth="1"/>
    <col min="10" max="10" width="12.42578125" style="121" customWidth="1"/>
    <col min="11" max="11" width="21.85546875" style="121" customWidth="1"/>
    <col min="12" max="12" width="17.42578125" style="121" customWidth="1"/>
    <col min="13" max="13" width="16.42578125" style="121" customWidth="1"/>
    <col min="14" max="14" width="22" style="121" hidden="1" customWidth="1" outlineLevel="1"/>
    <col min="15" max="17" width="12.140625" style="121" hidden="1" customWidth="1" outlineLevel="1"/>
    <col min="18" max="18" width="12.140625" style="121" customWidth="1" collapsed="1"/>
    <col min="19" max="19" width="27" style="122" customWidth="1"/>
    <col min="20" max="20" width="9.7109375" style="160" customWidth="1"/>
    <col min="21" max="21" width="21.85546875" style="160" customWidth="1"/>
    <col min="22" max="22" width="26.140625" style="161" customWidth="1"/>
    <col min="23" max="23" width="13.42578125" style="121" hidden="1" customWidth="1" outlineLevel="1"/>
    <col min="24" max="25" width="12.140625" style="121" hidden="1" customWidth="1" outlineLevel="1"/>
    <col min="26" max="26" width="12.140625" style="121" customWidth="1" collapsed="1"/>
    <col min="27" max="27" width="10.7109375" style="121" bestFit="1" customWidth="1"/>
    <col min="28" max="28" width="11.42578125" style="121" bestFit="1" customWidth="1"/>
    <col min="29" max="16384" width="8.85546875" style="121"/>
  </cols>
  <sheetData>
    <row r="1" spans="2:28" ht="7.5" customHeight="1" x14ac:dyDescent="0.3"/>
    <row r="2" spans="2:28" s="162" customFormat="1" ht="36.75" customHeight="1" x14ac:dyDescent="0.25">
      <c r="G2" s="207" t="s">
        <v>304</v>
      </c>
      <c r="H2" s="207"/>
      <c r="I2" s="207"/>
      <c r="J2" s="207"/>
      <c r="K2" s="207"/>
      <c r="L2" s="207"/>
      <c r="M2" s="207"/>
      <c r="N2" s="207"/>
      <c r="O2" s="207"/>
      <c r="P2" s="207"/>
      <c r="Q2" s="207"/>
      <c r="R2" s="207"/>
      <c r="S2" s="207"/>
      <c r="T2" s="207" t="s">
        <v>362</v>
      </c>
      <c r="U2" s="207"/>
      <c r="V2" s="207"/>
      <c r="W2" s="207"/>
      <c r="X2" s="207"/>
      <c r="Y2" s="207"/>
      <c r="Z2" s="207"/>
      <c r="AB2" s="294"/>
    </row>
    <row r="3" spans="2:28" ht="6.75" customHeight="1" thickBot="1" x14ac:dyDescent="0.35">
      <c r="G3" s="163"/>
      <c r="H3" s="163"/>
      <c r="I3" s="164"/>
      <c r="J3" s="165"/>
      <c r="K3" s="165"/>
      <c r="L3" s="165"/>
      <c r="M3" s="166"/>
      <c r="N3" s="166"/>
      <c r="O3" s="166"/>
      <c r="P3" s="166"/>
      <c r="Q3" s="166"/>
      <c r="R3" s="166"/>
      <c r="S3" s="163"/>
      <c r="T3" s="167"/>
      <c r="U3" s="168"/>
      <c r="W3" s="166"/>
      <c r="X3" s="166"/>
      <c r="Y3" s="166"/>
      <c r="Z3" s="166"/>
    </row>
    <row r="4" spans="2:28" ht="121.5" customHeight="1" x14ac:dyDescent="0.3">
      <c r="B4" s="121" t="s">
        <v>170</v>
      </c>
      <c r="G4" s="266" t="s">
        <v>215</v>
      </c>
      <c r="H4" s="267" t="s">
        <v>9</v>
      </c>
      <c r="I4" s="268" t="s">
        <v>86</v>
      </c>
      <c r="J4" s="267" t="s">
        <v>305</v>
      </c>
      <c r="K4" s="267" t="s">
        <v>235</v>
      </c>
      <c r="L4" s="267" t="s">
        <v>112</v>
      </c>
      <c r="M4" s="267" t="s">
        <v>139</v>
      </c>
      <c r="N4" s="267" t="s">
        <v>143</v>
      </c>
      <c r="O4" s="267" t="str">
        <f>"Стоимость, "&amp;O5</f>
        <v>Стоимость, USD</v>
      </c>
      <c r="P4" s="269" t="s">
        <v>140</v>
      </c>
      <c r="Q4" s="269" t="s">
        <v>197</v>
      </c>
      <c r="R4" s="267" t="str">
        <f>"Стоимость, "&amp;R5</f>
        <v>Стоимость, RUB</v>
      </c>
      <c r="S4" s="270" t="s">
        <v>105</v>
      </c>
      <c r="T4" s="267" t="s">
        <v>106</v>
      </c>
      <c r="U4" s="267" t="s">
        <v>138</v>
      </c>
      <c r="V4" s="267" t="s">
        <v>132</v>
      </c>
      <c r="W4" s="267" t="str">
        <f>"Стоимость, "&amp;W5</f>
        <v>Стоимость, USD</v>
      </c>
      <c r="X4" s="269" t="s">
        <v>140</v>
      </c>
      <c r="Y4" s="269" t="s">
        <v>197</v>
      </c>
      <c r="Z4" s="271" t="str">
        <f>"Стоимость, "&amp;Z5</f>
        <v>Стоимость, RUB</v>
      </c>
    </row>
    <row r="5" spans="2:28" x14ac:dyDescent="0.3">
      <c r="G5" s="272"/>
      <c r="H5" s="273"/>
      <c r="I5" s="274"/>
      <c r="J5" s="273"/>
      <c r="K5" s="273"/>
      <c r="L5" s="273"/>
      <c r="M5" s="273"/>
      <c r="N5" s="273"/>
      <c r="O5" s="273" t="str">
        <f>GenAssumptions!$B$9</f>
        <v>USD</v>
      </c>
      <c r="P5" s="208" t="s">
        <v>145</v>
      </c>
      <c r="Q5" s="208" t="s">
        <v>144</v>
      </c>
      <c r="R5" s="273" t="str">
        <f>GenAssumptions!$B$8</f>
        <v>RUB</v>
      </c>
      <c r="S5" s="209"/>
      <c r="T5" s="273"/>
      <c r="U5" s="273"/>
      <c r="V5" s="274"/>
      <c r="W5" s="273" t="str">
        <f>GenAssumptions!$B$9</f>
        <v>USD</v>
      </c>
      <c r="X5" s="208" t="s">
        <v>145</v>
      </c>
      <c r="Y5" s="208" t="s">
        <v>144</v>
      </c>
      <c r="Z5" s="275" t="str">
        <f>GenAssumptions!$B$8</f>
        <v>RUB</v>
      </c>
    </row>
    <row r="6" spans="2:28" s="169" customFormat="1" ht="15.75" x14ac:dyDescent="0.25">
      <c r="G6" s="238" t="s">
        <v>129</v>
      </c>
      <c r="H6" s="299" t="s">
        <v>11</v>
      </c>
      <c r="I6" s="300"/>
      <c r="J6" s="301"/>
      <c r="K6" s="302"/>
      <c r="L6" s="302"/>
      <c r="M6" s="302"/>
      <c r="N6" s="276"/>
      <c r="O6" s="276">
        <f>O7+O10+O16+O21+O24</f>
        <v>9.7200000000000006</v>
      </c>
      <c r="P6" s="215">
        <f t="shared" ref="P6:R6" si="0">P7+P10+P16+P21+P24</f>
        <v>12.93</v>
      </c>
      <c r="Q6" s="219">
        <f t="shared" si="0"/>
        <v>9.64</v>
      </c>
      <c r="R6" s="276">
        <f t="shared" si="0"/>
        <v>905.82</v>
      </c>
      <c r="S6" s="330"/>
      <c r="T6" s="319"/>
      <c r="U6" s="319"/>
      <c r="V6" s="331"/>
      <c r="W6" s="210">
        <f>W7+W10+W16+W21+W24</f>
        <v>10.74</v>
      </c>
      <c r="X6" s="215">
        <f>X7+X10+X16+X21+X24</f>
        <v>10.74</v>
      </c>
      <c r="Y6" s="219">
        <f t="shared" ref="Y6:Z6" si="1">Y7+Y10+Y16+Y21+Y24</f>
        <v>8.02</v>
      </c>
      <c r="Z6" s="277">
        <f t="shared" si="1"/>
        <v>816.66</v>
      </c>
    </row>
    <row r="7" spans="2:28" outlineLevel="1" x14ac:dyDescent="0.3">
      <c r="B7" s="121" t="str">
        <f>IF(O7&lt;&gt;0,"S1",0)&amp;C7</f>
        <v>S11</v>
      </c>
      <c r="C7" s="170">
        <f>IF(O7&lt;&gt;0,1,)</f>
        <v>1</v>
      </c>
      <c r="D7" s="170" t="str">
        <f>IF(C7&lt;&gt;0,"Y",)</f>
        <v>Y</v>
      </c>
      <c r="E7" s="170"/>
      <c r="F7" s="170"/>
      <c r="G7" s="278" t="s">
        <v>124</v>
      </c>
      <c r="H7" s="303" t="s">
        <v>10</v>
      </c>
      <c r="I7" s="304"/>
      <c r="J7" s="305"/>
      <c r="K7" s="306"/>
      <c r="L7" s="306"/>
      <c r="M7" s="306"/>
      <c r="N7" s="279"/>
      <c r="O7" s="279">
        <f>SUM(O8:O9)</f>
        <v>6.77</v>
      </c>
      <c r="P7" s="216">
        <f>SUM(P8:P9)</f>
        <v>6.77</v>
      </c>
      <c r="Q7" s="220">
        <f>SUM(Q8:Q9)</f>
        <v>5.05</v>
      </c>
      <c r="R7" s="279">
        <f>SUM(R8:R9)</f>
        <v>473.97</v>
      </c>
      <c r="S7" s="332"/>
      <c r="T7" s="333"/>
      <c r="U7" s="333"/>
      <c r="V7" s="334"/>
      <c r="W7" s="279">
        <f>SUM(W8:W9)</f>
        <v>1.84</v>
      </c>
      <c r="X7" s="216">
        <f>SUM(X8:X9)</f>
        <v>1.84</v>
      </c>
      <c r="Y7" s="220">
        <f>SUM(Y8:Y9)</f>
        <v>1.37</v>
      </c>
      <c r="Z7" s="280">
        <f>SUM(Z8:Z9)</f>
        <v>129.35</v>
      </c>
    </row>
    <row r="8" spans="2:28" ht="39.75" outlineLevel="1" x14ac:dyDescent="0.3">
      <c r="E8" s="121" t="str">
        <f>IF(T8="Y","T",0)&amp;F8</f>
        <v>T1</v>
      </c>
      <c r="F8" s="170">
        <f>IF(T8="Y",COUNTIF($T7:T7,"Y")+1,0)</f>
        <v>1</v>
      </c>
      <c r="G8" s="281"/>
      <c r="H8" s="307" t="s">
        <v>85</v>
      </c>
      <c r="I8" s="381" t="s">
        <v>306</v>
      </c>
      <c r="J8" s="309" t="s">
        <v>103</v>
      </c>
      <c r="K8" s="310" t="s">
        <v>19</v>
      </c>
      <c r="L8" s="309">
        <v>5</v>
      </c>
      <c r="M8" s="309">
        <v>25</v>
      </c>
      <c r="N8" s="171">
        <f>IF(J8="Y",ROUND(L8*M8,2),0)</f>
        <v>125</v>
      </c>
      <c r="O8" s="172">
        <f>IF(J8="Y",ROUND(SUMIFS(GenAssumptions!$E:$E,GenAssumptions!$C:$C,$K8)*12/(251*8)/60*L8*M8,2),0)</f>
        <v>6.77</v>
      </c>
      <c r="P8" s="217">
        <f>ROUND(IF($O$5=$P$5,O8,IF($O$5=$Q$5,O8*GenAssumptions!$B$11,IF($O$5=$R$5,O8/GenAssumptions!$B$10,"ошибка в заполнении блока Курсы валют"))),2)</f>
        <v>6.77</v>
      </c>
      <c r="Q8" s="221">
        <f>ROUND(P8/GenAssumptions!$B$11,2)</f>
        <v>5.05</v>
      </c>
      <c r="R8" s="172">
        <f>IF(J8="Y",ROUND(SUMIFS(GenAssumptions!$D:$D,GenAssumptions!$C:$C,$K8)*12/(251*8)/60*L8*M8,2),0)</f>
        <v>473.97</v>
      </c>
      <c r="S8" s="335" t="s">
        <v>109</v>
      </c>
      <c r="T8" s="309" t="s">
        <v>103</v>
      </c>
      <c r="U8" s="309">
        <v>4</v>
      </c>
      <c r="V8" s="323"/>
      <c r="W8" s="282">
        <f>IF(T8="Y",ROUND(SUMIFS(GenAssumptions!$E:$E,GenAssumptions!$C:$C,$S8)*U8,2),0)</f>
        <v>1.84</v>
      </c>
      <c r="X8" s="217">
        <f>ROUND(IF($W$5=$X$5,W8,IF($W$5=$Y$5,W8*GenAssumptions!$B$11,IF($W$5=$Z$5,W8/GenAssumptions!$B$10,"ошибка в заполнении блока Курсы валют"))),2)</f>
        <v>1.84</v>
      </c>
      <c r="Y8" s="221">
        <f>ROUND(X8/GenAssumptions!$B$11,2)</f>
        <v>1.37</v>
      </c>
      <c r="Z8" s="283">
        <f>IF(T8="Y",ROUND(SUMIFS(GenAssumptions!$D:$D,GenAssumptions!$C:$C,$S8)*U8,2),0)</f>
        <v>129.35</v>
      </c>
    </row>
    <row r="9" spans="2:28" outlineLevel="1" x14ac:dyDescent="0.3">
      <c r="E9" s="121" t="str">
        <f t="shared" ref="E9:E54" si="2">IF(T9="Y","T",0)&amp;F9</f>
        <v>0</v>
      </c>
      <c r="G9" s="281"/>
      <c r="H9" s="307"/>
      <c r="I9" s="381"/>
      <c r="J9" s="311"/>
      <c r="K9" s="310"/>
      <c r="L9" s="311"/>
      <c r="M9" s="311"/>
      <c r="N9" s="171"/>
      <c r="O9" s="172"/>
      <c r="P9" s="217"/>
      <c r="Q9" s="221"/>
      <c r="R9" s="172"/>
      <c r="S9" s="335"/>
      <c r="T9" s="311"/>
      <c r="U9" s="311"/>
      <c r="V9" s="323"/>
      <c r="W9" s="172">
        <f>IF(T9="Y",ROUND(SUMIFS(GenAssumptions!$E:$E,GenAssumptions!$C:$C,$S9)*U9,2),0)</f>
        <v>0</v>
      </c>
      <c r="X9" s="217">
        <f>ROUND(IF($W$5=$X$5,W9,IF($W$5=$Y$5,W9*GenAssumptions!$B$11,IF($W$5=$Z$5,W9/GenAssumptions!$B$10,"ошибка в заполнении блока Курсы валют"))),2)</f>
        <v>0</v>
      </c>
      <c r="Y9" s="221">
        <f>ROUND(X9/GenAssumptions!$B$11,2)</f>
        <v>0</v>
      </c>
      <c r="Z9" s="283">
        <f>IF(T9="Y",ROUND(SUMIFS(GenAssumptions!$D:$D,GenAssumptions!$C:$C,$S9)*U9,2),0)</f>
        <v>0</v>
      </c>
    </row>
    <row r="10" spans="2:28" outlineLevel="1" x14ac:dyDescent="0.3">
      <c r="B10" s="121" t="str">
        <f>IF(O10&lt;&gt;0,"S1",0)&amp;C10</f>
        <v>S12</v>
      </c>
      <c r="C10" s="170">
        <f>IF(O10&lt;&gt;0,COUNTIF(D6:D9,"Y")+1)</f>
        <v>2</v>
      </c>
      <c r="D10" s="170" t="str">
        <f>IF(C10&lt;&gt;0,"Y",)</f>
        <v>Y</v>
      </c>
      <c r="E10" s="170" t="str">
        <f t="shared" si="2"/>
        <v>0</v>
      </c>
      <c r="F10" s="170"/>
      <c r="G10" s="278" t="s">
        <v>125</v>
      </c>
      <c r="H10" s="303" t="s">
        <v>345</v>
      </c>
      <c r="I10" s="304"/>
      <c r="J10" s="305"/>
      <c r="K10" s="306"/>
      <c r="L10" s="306"/>
      <c r="M10" s="306"/>
      <c r="N10" s="279"/>
      <c r="O10" s="279">
        <f>SUM(O11:O15)</f>
        <v>1.35</v>
      </c>
      <c r="P10" s="216">
        <f>SUM(P11:P15)</f>
        <v>1.35</v>
      </c>
      <c r="Q10" s="220">
        <f>SUM(Q11:Q15)</f>
        <v>1.01</v>
      </c>
      <c r="R10" s="279">
        <f>SUM(R11:R15)</f>
        <v>94.79</v>
      </c>
      <c r="S10" s="332"/>
      <c r="T10" s="333"/>
      <c r="U10" s="333"/>
      <c r="V10" s="334"/>
      <c r="W10" s="279">
        <f>SUM(W11:W15)</f>
        <v>4.9000000000000004</v>
      </c>
      <c r="X10" s="216">
        <f>SUM(X11:X15)</f>
        <v>4.9000000000000004</v>
      </c>
      <c r="Y10" s="220">
        <f>SUM(Y11:Y15)</f>
        <v>3.6599999999999997</v>
      </c>
      <c r="Z10" s="280">
        <f>SUM(Z11:Z15)</f>
        <v>337.31</v>
      </c>
    </row>
    <row r="11" spans="2:28" ht="52.5" outlineLevel="1" x14ac:dyDescent="0.3">
      <c r="E11" s="121" t="str">
        <f t="shared" si="2"/>
        <v>T2</v>
      </c>
      <c r="F11" s="170">
        <f>IF(T11="Y",COUNTIF($T$8:T10,"Y")+1,0)</f>
        <v>2</v>
      </c>
      <c r="G11" s="281"/>
      <c r="H11" s="307" t="s">
        <v>346</v>
      </c>
      <c r="I11" s="381" t="s">
        <v>307</v>
      </c>
      <c r="J11" s="309" t="s">
        <v>103</v>
      </c>
      <c r="K11" s="310" t="s">
        <v>19</v>
      </c>
      <c r="L11" s="309">
        <v>5</v>
      </c>
      <c r="M11" s="309">
        <v>5</v>
      </c>
      <c r="N11" s="171">
        <f>IF(J11="Y",ROUND(L11*M11,2),0)</f>
        <v>25</v>
      </c>
      <c r="O11" s="172">
        <f>IF(J11="Y",ROUND(SUMIFS(GenAssumptions!$E:$E,GenAssumptions!$C:$C,$K11)*12/(251*8)/60*L11*M11,2),0)</f>
        <v>1.35</v>
      </c>
      <c r="P11" s="217">
        <f>ROUND(IF($O$5=$P$5,O11,IF($O$5=$Q$5,O11*GenAssumptions!$B$11,IF($O$5=$R$5,O11/GenAssumptions!$B$10,"ошибка в заполнении блока Курсы валют"))),2)</f>
        <v>1.35</v>
      </c>
      <c r="Q11" s="221">
        <f>ROUND(P11/GenAssumptions!$B$11,2)</f>
        <v>1.01</v>
      </c>
      <c r="R11" s="172">
        <f>IF(J11="Y",ROUND(SUMIFS(GenAssumptions!$D:$D,GenAssumptions!$C:$C,$K11)*12/(251*8)/60*L11*M11,2),0)</f>
        <v>94.79</v>
      </c>
      <c r="S11" s="335" t="s">
        <v>133</v>
      </c>
      <c r="T11" s="309" t="s">
        <v>103</v>
      </c>
      <c r="U11" s="309">
        <v>20</v>
      </c>
      <c r="V11" s="323"/>
      <c r="W11" s="172">
        <f>IF(T11="Y",ROUND(SUMIFS(GenAssumptions!$E:$E,GenAssumptions!$C:$C,$S11)*U11,2),0)</f>
        <v>1.2</v>
      </c>
      <c r="X11" s="217">
        <f>ROUND(IF($W$5=$X$5,W11,IF($W$5=$Y$5,W11*GenAssumptions!$B$11,IF($W$5=$Z$5,W11/GenAssumptions!$B$10,"ошибка в заполнении блока Курсы валют"))),2)</f>
        <v>1.2</v>
      </c>
      <c r="Y11" s="221">
        <f>ROUND(X11/GenAssumptions!$B$11,2)</f>
        <v>0.9</v>
      </c>
      <c r="Z11" s="283">
        <f>IF(T11="Y",ROUND(SUMIFS(GenAssumptions!$D:$D,GenAssumptions!$C:$C,$S11)*U11,2),0)</f>
        <v>77.61</v>
      </c>
    </row>
    <row r="12" spans="2:28" ht="25.5" outlineLevel="1" x14ac:dyDescent="0.3">
      <c r="E12" s="121" t="str">
        <f t="shared" ref="E12" si="3">IF(T12="Y","T",0)&amp;F12</f>
        <v>T3</v>
      </c>
      <c r="F12" s="170">
        <f>IF(T12="Y",COUNTIF($T$8:T11,"Y")+1,0)</f>
        <v>3</v>
      </c>
      <c r="G12" s="281"/>
      <c r="H12" s="307"/>
      <c r="I12" s="312"/>
      <c r="J12" s="311"/>
      <c r="K12" s="310"/>
      <c r="L12" s="311"/>
      <c r="M12" s="311"/>
      <c r="N12" s="171">
        <f>IF(J12="Y",ROUND(L12*M12,2),0)</f>
        <v>0</v>
      </c>
      <c r="O12" s="172">
        <f>IF(J12="Y",ROUND(SUMIFS(GenAssumptions!$E:$E,GenAssumptions!$C:$C,$K12)*12/(251*8)/60*L12*M12,2),0)</f>
        <v>0</v>
      </c>
      <c r="P12" s="217">
        <f>ROUND(IF($O$5=$P$5,O12,IF($O$5=$Q$5,O12*GenAssumptions!$B$11,IF($O$5=$R$5,O12/GenAssumptions!$B$10,"ошибка в заполнении блока Курсы валют"))),2)</f>
        <v>0</v>
      </c>
      <c r="Q12" s="221">
        <f>ROUND(P12/GenAssumptions!$B$11,2)</f>
        <v>0</v>
      </c>
      <c r="R12" s="172">
        <f>IF(J12="Y",ROUND(SUMIFS(GenAssumptions!$D:$D,GenAssumptions!$C:$C,$K12)*12/(251*8)/60*L12*M12,2),0)</f>
        <v>0</v>
      </c>
      <c r="S12" s="335" t="s">
        <v>99</v>
      </c>
      <c r="T12" s="309" t="s">
        <v>103</v>
      </c>
      <c r="U12" s="309">
        <v>50</v>
      </c>
      <c r="V12" s="323" t="s">
        <v>266</v>
      </c>
      <c r="W12" s="172">
        <f>IF(T12="Y",ROUND(SUMIFS(GenAssumptions!$E:$E,GenAssumptions!$C:$C,$S12)*U12,2),0)</f>
        <v>3.5</v>
      </c>
      <c r="X12" s="217">
        <f>ROUND(IF($W$5=$X$5,W12,IF($W$5=$Y$5,W12*GenAssumptions!$B$11,IF($W$5=$Z$5,W12/GenAssumptions!$B$10,"ошибка в заполнении блока Курсы валют"))),2)</f>
        <v>3.5</v>
      </c>
      <c r="Y12" s="221">
        <f>ROUND(X12/GenAssumptions!$B$11,2)</f>
        <v>2.61</v>
      </c>
      <c r="Z12" s="283">
        <f>IF(T12="Y",ROUND(SUMIFS(GenAssumptions!$D:$D,GenAssumptions!$C:$C,$S12)*U12,2),0)</f>
        <v>250</v>
      </c>
    </row>
    <row r="13" spans="2:28" ht="25.5" outlineLevel="1" x14ac:dyDescent="0.3">
      <c r="E13" s="121" t="str">
        <f t="shared" si="2"/>
        <v>T4</v>
      </c>
      <c r="F13" s="170">
        <f>IF(T13="Y",COUNTIF($T$8:T12,"Y")+1,0)</f>
        <v>4</v>
      </c>
      <c r="G13" s="281"/>
      <c r="H13" s="307"/>
      <c r="I13" s="312"/>
      <c r="J13" s="311"/>
      <c r="K13" s="310"/>
      <c r="L13" s="311"/>
      <c r="M13" s="311"/>
      <c r="N13" s="171">
        <f>IF(J13="Y",ROUND(L13*M13,2),0)</f>
        <v>0</v>
      </c>
      <c r="O13" s="172">
        <f>IF(J13="Y",ROUND(SUMIFS(GenAssumptions!$E:$E,GenAssumptions!$C:$C,$K13)*12/(251*8)/60*L13*M13,2),0)</f>
        <v>0</v>
      </c>
      <c r="P13" s="217">
        <f>ROUND(IF($O$5=$P$5,O13,IF($O$5=$Q$5,O13*GenAssumptions!$B$11,IF($O$5=$R$5,O13/GenAssumptions!$B$10,"ошибка в заполнении блока Курсы валют"))),2)</f>
        <v>0</v>
      </c>
      <c r="Q13" s="221">
        <f>ROUND(P13/GenAssumptions!$B$11,2)</f>
        <v>0</v>
      </c>
      <c r="R13" s="172">
        <f>IF(J13="Y",ROUND(SUMIFS(GenAssumptions!$D:$D,GenAssumptions!$C:$C,$K13)*12/(251*8)/60*L13*M13,2),0)</f>
        <v>0</v>
      </c>
      <c r="S13" s="335" t="s">
        <v>92</v>
      </c>
      <c r="T13" s="309" t="s">
        <v>103</v>
      </c>
      <c r="U13" s="309">
        <f>U11</f>
        <v>20</v>
      </c>
      <c r="V13" s="323" t="s">
        <v>207</v>
      </c>
      <c r="W13" s="172">
        <f>IF(T13="Y",ROUND(SUMIFS(GenAssumptions!$E:$E,GenAssumptions!$C:$C,$S13)*U13,2),0)</f>
        <v>0.2</v>
      </c>
      <c r="X13" s="217">
        <f>ROUND(IF($W$5=$X$5,W13,IF($W$5=$Y$5,W13*GenAssumptions!$B$11,IF($W$5=$Z$5,W13/GenAssumptions!$B$10,"ошибка в заполнении блока Курсы валют"))),2)</f>
        <v>0.2</v>
      </c>
      <c r="Y13" s="221">
        <f>ROUND(X13/GenAssumptions!$B$11,2)</f>
        <v>0.15</v>
      </c>
      <c r="Z13" s="283">
        <f>IF(T13="Y",ROUND(SUMIFS(GenAssumptions!$D:$D,GenAssumptions!$C:$C,$S13)*U13,2),0)</f>
        <v>9.6999999999999993</v>
      </c>
      <c r="AA13" s="396"/>
    </row>
    <row r="14" spans="2:28" outlineLevel="1" x14ac:dyDescent="0.3">
      <c r="E14" s="121" t="str">
        <f t="shared" si="2"/>
        <v>00</v>
      </c>
      <c r="F14" s="170">
        <f>IF(T14="Y",COUNTIF($T$8:T13,"Y")+1,0)</f>
        <v>0</v>
      </c>
      <c r="G14" s="281"/>
      <c r="H14" s="307"/>
      <c r="I14" s="312"/>
      <c r="J14" s="311"/>
      <c r="K14" s="310"/>
      <c r="L14" s="311"/>
      <c r="M14" s="311"/>
      <c r="N14" s="171">
        <f>IF(J14="Y",ROUND(L14*M14,2),0)</f>
        <v>0</v>
      </c>
      <c r="O14" s="172">
        <f>IF(J14="Y",ROUND(SUMIFS(GenAssumptions!$E:$E,GenAssumptions!$C:$C,$K14)*12/(251*8)/60*L14*M14,2),0)</f>
        <v>0</v>
      </c>
      <c r="P14" s="217">
        <f>ROUND(IF($O$5=$P$5,O14,IF($O$5=$Q$5,O14*GenAssumptions!$B$11,IF($O$5=$R$5,O14/GenAssumptions!$B$10,"ошибка в заполнении блока Курсы валют"))),2)</f>
        <v>0</v>
      </c>
      <c r="Q14" s="221">
        <f>ROUND(P14/GenAssumptions!$B$11,2)</f>
        <v>0</v>
      </c>
      <c r="R14" s="172">
        <f>IF(J14="Y",ROUND(SUMIFS(GenAssumptions!$D:$D,GenAssumptions!$C:$C,$K14)*12/(251*8)/60*L14*M14,2),0)</f>
        <v>0</v>
      </c>
      <c r="S14" s="335"/>
      <c r="T14" s="309"/>
      <c r="U14" s="313"/>
      <c r="V14" s="336"/>
      <c r="W14" s="172">
        <f>IF(T14="Y",ROUND(SUMIFS(GenAssumptions!$E:$E,GenAssumptions!$C:$C,$S14)*U14,2),0)</f>
        <v>0</v>
      </c>
      <c r="X14" s="217">
        <f>ROUND(IF($W$5=$X$5,W14,IF($W$5=$Y$5,W14*GenAssumptions!$B$11,IF($W$5=$Z$5,W14/GenAssumptions!$B$10,"ошибка в заполнении блока Курсы валют"))),2)</f>
        <v>0</v>
      </c>
      <c r="Y14" s="221">
        <f>ROUND(X14/GenAssumptions!$B$11,2)</f>
        <v>0</v>
      </c>
      <c r="Z14" s="283">
        <f>IF(T14="Y",ROUND(SUMIFS(GenAssumptions!$D:$D,GenAssumptions!$C:$C,$S14)*U14,2),0)</f>
        <v>0</v>
      </c>
    </row>
    <row r="15" spans="2:28" outlineLevel="1" x14ac:dyDescent="0.3">
      <c r="E15" s="121" t="str">
        <f t="shared" si="2"/>
        <v>00</v>
      </c>
      <c r="F15" s="170">
        <f>IF(T15="Y",COUNTIF($T$8:T14,"Y")+1,0)</f>
        <v>0</v>
      </c>
      <c r="G15" s="281"/>
      <c r="H15" s="307"/>
      <c r="I15" s="312"/>
      <c r="J15" s="311"/>
      <c r="K15" s="310"/>
      <c r="L15" s="311"/>
      <c r="M15" s="311"/>
      <c r="N15" s="171">
        <f>IF(J15="Y",ROUND(L15*M15,2),0)</f>
        <v>0</v>
      </c>
      <c r="O15" s="172">
        <f>IF(J15="Y",ROUND(SUMIFS(GenAssumptions!$E:$E,GenAssumptions!$C:$C,$K15)*12/(251*8)/60*L15*M15,2),0)</f>
        <v>0</v>
      </c>
      <c r="P15" s="217">
        <f>ROUND(IF($O$5=$P$5,O15,IF($O$5=$Q$5,O15*GenAssumptions!$B$11,IF($O$5=$R$5,O15/GenAssumptions!$B$10,"ошибка в заполнении блока Курсы валют"))),2)</f>
        <v>0</v>
      </c>
      <c r="Q15" s="221">
        <f>ROUND(P15/GenAssumptions!$B$11,2)</f>
        <v>0</v>
      </c>
      <c r="R15" s="172">
        <f>IF(J15="Y",ROUND(SUMIFS(GenAssumptions!$D:$D,GenAssumptions!$C:$C,$K15)*12/(251*8)/60*L15*M15,2),0)</f>
        <v>0</v>
      </c>
      <c r="S15" s="335"/>
      <c r="T15" s="309"/>
      <c r="U15" s="313"/>
      <c r="V15" s="336"/>
      <c r="W15" s="172">
        <f>IF(T15="Y",ROUND(SUMIFS(GenAssumptions!$E:$E,GenAssumptions!$C:$C,$S15)*U15,2),0)</f>
        <v>0</v>
      </c>
      <c r="X15" s="217">
        <f>ROUND(IF($W$5=$X$5,W15,IF($W$5=$Y$5,W15*GenAssumptions!$B$11,IF($W$5=$Z$5,W15/GenAssumptions!$B$10,"ошибка в заполнении блока Курсы валют"))),2)</f>
        <v>0</v>
      </c>
      <c r="Y15" s="221">
        <f>ROUND(X15/GenAssumptions!$B$11,2)</f>
        <v>0</v>
      </c>
      <c r="Z15" s="283">
        <f>IF(T15="Y",ROUND(SUMIFS(GenAssumptions!$D:$D,GenAssumptions!$C:$C,$S15)*U15,2),0)</f>
        <v>0</v>
      </c>
    </row>
    <row r="16" spans="2:28" outlineLevel="1" x14ac:dyDescent="0.3">
      <c r="B16" s="121" t="str">
        <f>IF(O16&lt;&gt;0,"S1",0)&amp;C16</f>
        <v>S13</v>
      </c>
      <c r="C16" s="170">
        <f>IF(O16&lt;&gt;0,COUNTIF(D7:D15,"Y")+1)</f>
        <v>3</v>
      </c>
      <c r="D16" s="170" t="str">
        <f>IF(C16&lt;&gt;0,"Y",)</f>
        <v>Y</v>
      </c>
      <c r="E16" s="170" t="str">
        <f t="shared" si="2"/>
        <v>0</v>
      </c>
      <c r="F16" s="170"/>
      <c r="G16" s="382" t="s">
        <v>126</v>
      </c>
      <c r="H16" s="303" t="s">
        <v>351</v>
      </c>
      <c r="I16" s="304"/>
      <c r="J16" s="305"/>
      <c r="K16" s="306"/>
      <c r="L16" s="306"/>
      <c r="M16" s="306"/>
      <c r="N16" s="279"/>
      <c r="O16" s="279">
        <f>SUM(O17)</f>
        <v>0.16</v>
      </c>
      <c r="P16" s="216">
        <f>SUM(P17:P20)</f>
        <v>3.37</v>
      </c>
      <c r="Q16" s="220">
        <f>SUM(Q17:Q20)</f>
        <v>2.5100000000000002</v>
      </c>
      <c r="R16" s="279">
        <f>SUM(R17:R20)</f>
        <v>236.10000000000002</v>
      </c>
      <c r="S16" s="332"/>
      <c r="T16" s="333"/>
      <c r="U16" s="333"/>
      <c r="V16" s="334"/>
      <c r="W16" s="279">
        <f>SUM(W17)</f>
        <v>0</v>
      </c>
      <c r="X16" s="216">
        <f>SUM(X17)</f>
        <v>0</v>
      </c>
      <c r="Y16" s="220">
        <f>SUM(Y17)</f>
        <v>0</v>
      </c>
      <c r="Z16" s="280">
        <f>SUM(Z17)</f>
        <v>0</v>
      </c>
    </row>
    <row r="17" spans="2:28" s="173" customFormat="1" ht="33" customHeight="1" outlineLevel="1" x14ac:dyDescent="0.3">
      <c r="E17" s="121" t="str">
        <f t="shared" si="2"/>
        <v>00</v>
      </c>
      <c r="F17" s="170">
        <f>IF(T17="Y",COUNTIF(T4:T16,"Y")+1,0)</f>
        <v>0</v>
      </c>
      <c r="G17" s="284"/>
      <c r="H17" s="314" t="s">
        <v>352</v>
      </c>
      <c r="I17" s="314"/>
      <c r="J17" s="309" t="s">
        <v>103</v>
      </c>
      <c r="K17" s="315" t="s">
        <v>23</v>
      </c>
      <c r="L17" s="318">
        <f>100/4000</f>
        <v>2.5000000000000001E-2</v>
      </c>
      <c r="M17" s="316">
        <v>120</v>
      </c>
      <c r="N17" s="171">
        <f>IF(J17="Y",ROUND(L17*M17,2),0)</f>
        <v>3</v>
      </c>
      <c r="O17" s="172">
        <f>IF(J17="Y",ROUND(SUMIFS(GenAssumptions!$E:$E,GenAssumptions!$C:$C,$K17)*12/(251*8)/60*L17*M17,2),0)</f>
        <v>0.16</v>
      </c>
      <c r="P17" s="217">
        <f>ROUND(IF($O$5=$P$5,O17,IF($O$5=$Q$5,O17*GenAssumptions!$B$11,IF($O$5=$R$5,O17/GenAssumptions!$B$10,"ошибка в заполнении блока Курсы валют"))),2)</f>
        <v>0.16</v>
      </c>
      <c r="Q17" s="221">
        <f>ROUND(P17/GenAssumptions!$B$11,2)</f>
        <v>0.12</v>
      </c>
      <c r="R17" s="172">
        <f>IF(J17="Y",ROUND(SUMIFS(GenAssumptions!$D:$D,GenAssumptions!$C:$C,$K17)*12/(251*8)/60*L17*M17,2),0)</f>
        <v>11.38</v>
      </c>
      <c r="S17" s="335"/>
      <c r="T17" s="309"/>
      <c r="U17" s="316"/>
      <c r="V17" s="337"/>
      <c r="W17" s="172">
        <f>IF(T17="Y",ROUND(SUMIFS(GenAssumptions!$E:$E,GenAssumptions!$C:$C,$S17)*U17,2),0)</f>
        <v>0</v>
      </c>
      <c r="X17" s="217">
        <f>ROUND(IF($W$5=$X$5,W17,IF($W$5=$Y$5,W17*GenAssumptions!$B$11,IF($W$5=$Z$5,W17/GenAssumptions!$B$10,"ошибка в заполнении блока Курсы валют"))),2)</f>
        <v>0</v>
      </c>
      <c r="Y17" s="221">
        <f>ROUND(X17/GenAssumptions!$B$11,2)</f>
        <v>0</v>
      </c>
      <c r="Z17" s="283">
        <f>IF(T17="Y",ROUND(SUMIFS(GenAssumptions!$D:$D,GenAssumptions!$C:$C,$S17)*U17,2),0)</f>
        <v>0</v>
      </c>
      <c r="AB17" s="121"/>
    </row>
    <row r="18" spans="2:28" s="173" customFormat="1" ht="33" customHeight="1" outlineLevel="1" x14ac:dyDescent="0.3">
      <c r="E18" s="121" t="str">
        <f t="shared" si="2"/>
        <v>00</v>
      </c>
      <c r="F18" s="170">
        <f>IF(T18="Y",COUNTIF(T4:T16,"Y")+1,0)</f>
        <v>0</v>
      </c>
      <c r="G18" s="284"/>
      <c r="H18" s="314" t="s">
        <v>353</v>
      </c>
      <c r="I18" s="314"/>
      <c r="J18" s="309" t="s">
        <v>103</v>
      </c>
      <c r="K18" s="315" t="s">
        <v>23</v>
      </c>
      <c r="L18" s="318">
        <f>784/4000</f>
        <v>0.19600000000000001</v>
      </c>
      <c r="M18" s="316">
        <v>240</v>
      </c>
      <c r="N18" s="171">
        <f t="shared" ref="N18" si="4">IF(J18="Y",ROUND(L18*M18,2),0)</f>
        <v>47.04</v>
      </c>
      <c r="O18" s="172">
        <f>IF(J18="Y",ROUND(SUMIFS(GenAssumptions!$E:$E,GenAssumptions!$C:$C,$K18)*12/(251*8)/60*L18*M18,2),0)</f>
        <v>2.5499999999999998</v>
      </c>
      <c r="P18" s="217">
        <f>ROUND(IF($O$5=$P$5,O18,IF($O$5=$Q$5,O18*GenAssumptions!$B$11,IF($O$5=$R$5,O18/GenAssumptions!$B$10,"ошибка в заполнении блока Курсы валют"))),2)</f>
        <v>2.5499999999999998</v>
      </c>
      <c r="Q18" s="221">
        <f>ROUND(P18/GenAssumptions!$B$11,2)</f>
        <v>1.9</v>
      </c>
      <c r="R18" s="172">
        <f>IF(J18="Y",ROUND(SUMIFS(GenAssumptions!$D:$D,GenAssumptions!$C:$C,$K18)*12/(251*8)/60*L18*M18,2),0)</f>
        <v>178.36</v>
      </c>
      <c r="S18" s="335"/>
      <c r="T18" s="309"/>
      <c r="U18" s="316"/>
      <c r="V18" s="337"/>
      <c r="W18" s="172">
        <f>IF(T18="Y",ROUND(SUMIFS(GenAssumptions!$E:$E,GenAssumptions!$C:$C,$S18)*U18,2),0)</f>
        <v>0</v>
      </c>
      <c r="X18" s="217">
        <f>ROUND(IF($W$5=$X$5,W18,IF($W$5=$Y$5,W18*GenAssumptions!$B$11,IF($W$5=$Z$5,W18/GenAssumptions!$B$10,"ошибка в заполнении блока Курсы валют"))),2)</f>
        <v>0</v>
      </c>
      <c r="Y18" s="221">
        <f>ROUND(X18/GenAssumptions!$B$11,2)</f>
        <v>0</v>
      </c>
      <c r="Z18" s="283">
        <f>IF(T18="Y",ROUND(SUMIFS(GenAssumptions!$D:$D,GenAssumptions!$C:$C,$S18)*U18,2),0)</f>
        <v>0</v>
      </c>
      <c r="AB18" s="121"/>
    </row>
    <row r="19" spans="2:28" s="173" customFormat="1" ht="33" customHeight="1" outlineLevel="1" x14ac:dyDescent="0.3">
      <c r="E19" s="121" t="str">
        <f t="shared" ref="E19:E20" si="5">IF(T19="Y","T",0)&amp;F19</f>
        <v>00</v>
      </c>
      <c r="F19" s="170">
        <f>IF(T19="Y",COUNTIF(T5:T17,"Y")+1,0)</f>
        <v>0</v>
      </c>
      <c r="G19" s="284"/>
      <c r="H19" s="314" t="s">
        <v>344</v>
      </c>
      <c r="I19" s="314"/>
      <c r="J19" s="309" t="s">
        <v>103</v>
      </c>
      <c r="K19" s="315" t="s">
        <v>23</v>
      </c>
      <c r="L19" s="318">
        <f>715/4000</f>
        <v>0.17874999999999999</v>
      </c>
      <c r="M19" s="316">
        <v>60</v>
      </c>
      <c r="N19" s="171">
        <f t="shared" ref="N19:N20" si="6">IF(J19="Y",ROUND(L19*M19,2),0)</f>
        <v>10.73</v>
      </c>
      <c r="O19" s="172">
        <f>IF(J19="Y",ROUND(SUMIFS(GenAssumptions!$E:$E,GenAssumptions!$C:$C,$K19)*12/(251*8)/60*L19*M19,2),0)</f>
        <v>0.57999999999999996</v>
      </c>
      <c r="P19" s="217">
        <f>ROUND(IF($O$5=$P$5,O19,IF($O$5=$Q$5,O19*GenAssumptions!$B$11,IF($O$5=$R$5,O19/GenAssumptions!$B$10,"ошибка в заполнении блока Курсы валют"))),2)</f>
        <v>0.57999999999999996</v>
      </c>
      <c r="Q19" s="221">
        <f>ROUND(P19/GenAssumptions!$B$11,2)</f>
        <v>0.43</v>
      </c>
      <c r="R19" s="172">
        <f>IF(J19="Y",ROUND(SUMIFS(GenAssumptions!$D:$D,GenAssumptions!$C:$C,$K19)*12/(251*8)/60*L19*M19,2),0)</f>
        <v>40.67</v>
      </c>
      <c r="S19" s="335"/>
      <c r="T19" s="309"/>
      <c r="U19" s="316"/>
      <c r="V19" s="337"/>
      <c r="W19" s="172">
        <f>IF(T19="Y",ROUND(SUMIFS(GenAssumptions!$E:$E,GenAssumptions!$C:$C,$S19)*U19,2),0)</f>
        <v>0</v>
      </c>
      <c r="X19" s="217">
        <f>ROUND(IF($W$5=$X$5,W19,IF($W$5=$Y$5,W19*GenAssumptions!$B$11,IF($W$5=$Z$5,W19/GenAssumptions!$B$10,"ошибка в заполнении блока Курсы валют"))),2)</f>
        <v>0</v>
      </c>
      <c r="Y19" s="221">
        <f>ROUND(X19/GenAssumptions!$B$11,2)</f>
        <v>0</v>
      </c>
      <c r="Z19" s="283">
        <f>IF(T19="Y",ROUND(SUMIFS(GenAssumptions!$D:$D,GenAssumptions!$C:$C,$S19)*U19,2),0)</f>
        <v>0</v>
      </c>
      <c r="AB19" s="121"/>
    </row>
    <row r="20" spans="2:28" s="173" customFormat="1" ht="33" customHeight="1" outlineLevel="1" x14ac:dyDescent="0.3">
      <c r="E20" s="121" t="str">
        <f t="shared" si="5"/>
        <v>00</v>
      </c>
      <c r="F20" s="170">
        <f>IF(T20="Y",COUNTIF(T6:T19,"Y")+1,0)</f>
        <v>0</v>
      </c>
      <c r="G20" s="284"/>
      <c r="H20" s="314" t="s">
        <v>354</v>
      </c>
      <c r="I20" s="314"/>
      <c r="J20" s="309" t="s">
        <v>103</v>
      </c>
      <c r="K20" s="315" t="s">
        <v>23</v>
      </c>
      <c r="L20" s="318">
        <f t="shared" ref="L20" si="7">100/4000</f>
        <v>2.5000000000000001E-2</v>
      </c>
      <c r="M20" s="316">
        <v>60</v>
      </c>
      <c r="N20" s="171">
        <f t="shared" si="6"/>
        <v>1.5</v>
      </c>
      <c r="O20" s="172">
        <f>IF(J20="Y",ROUND(SUMIFS(GenAssumptions!$E:$E,GenAssumptions!$C:$C,$K20)*12/(251*8)/60*L20*M20,2),0)</f>
        <v>0.08</v>
      </c>
      <c r="P20" s="217">
        <f>ROUND(IF($O$5=$P$5,O20,IF($O$5=$Q$5,O20*GenAssumptions!$B$11,IF($O$5=$R$5,O20/GenAssumptions!$B$10,"ошибка в заполнении блока Курсы валют"))),2)</f>
        <v>0.08</v>
      </c>
      <c r="Q20" s="221">
        <f>ROUND(P20/GenAssumptions!$B$11,2)</f>
        <v>0.06</v>
      </c>
      <c r="R20" s="172">
        <f>IF(J20="Y",ROUND(SUMIFS(GenAssumptions!$D:$D,GenAssumptions!$C:$C,$K20)*12/(251*8)/60*L20*M20,2),0)</f>
        <v>5.69</v>
      </c>
      <c r="S20" s="335"/>
      <c r="T20" s="309"/>
      <c r="U20" s="316"/>
      <c r="V20" s="337"/>
      <c r="W20" s="172">
        <f>IF(T20="Y",ROUND(SUMIFS(GenAssumptions!$E:$E,GenAssumptions!$C:$C,$S20)*U20,2),0)</f>
        <v>0</v>
      </c>
      <c r="X20" s="217">
        <f>ROUND(IF($W$5=$X$5,W20,IF($W$5=$Y$5,W20*GenAssumptions!$B$11,IF($W$5=$Z$5,W20/GenAssumptions!$B$10,"ошибка в заполнении блока Курсы валют"))),2)</f>
        <v>0</v>
      </c>
      <c r="Y20" s="221">
        <f>ROUND(X20/GenAssumptions!$B$11,2)</f>
        <v>0</v>
      </c>
      <c r="Z20" s="283">
        <f>IF(T20="Y",ROUND(SUMIFS(GenAssumptions!$D:$D,GenAssumptions!$C:$C,$S20)*U20,2),0)</f>
        <v>0</v>
      </c>
      <c r="AB20" s="121"/>
    </row>
    <row r="21" spans="2:28" outlineLevel="1" x14ac:dyDescent="0.3">
      <c r="B21" s="121" t="str">
        <f>IF(O21&lt;&gt;0,"S1",0)&amp;C21</f>
        <v>S14</v>
      </c>
      <c r="C21" s="170">
        <f>IF(O21&lt;&gt;0,COUNTIF(D7:D17,"Y")+1,0)</f>
        <v>4</v>
      </c>
      <c r="D21" s="170" t="str">
        <f>IF(C21&lt;&gt;0,"Y",)</f>
        <v>Y</v>
      </c>
      <c r="E21" s="170" t="str">
        <f t="shared" si="2"/>
        <v>0</v>
      </c>
      <c r="F21" s="170"/>
      <c r="G21" s="278" t="s">
        <v>127</v>
      </c>
      <c r="H21" s="303" t="s">
        <v>349</v>
      </c>
      <c r="I21" s="304"/>
      <c r="J21" s="305"/>
      <c r="K21" s="306"/>
      <c r="L21" s="306"/>
      <c r="M21" s="306"/>
      <c r="N21" s="279"/>
      <c r="O21" s="279">
        <f>SUM(O22:O23)</f>
        <v>1.3</v>
      </c>
      <c r="P21" s="216">
        <f>SUM(P22:P23)</f>
        <v>1.3</v>
      </c>
      <c r="Q21" s="220">
        <f>SUM(Q22:Q23)</f>
        <v>0.97</v>
      </c>
      <c r="R21" s="279">
        <f>SUM(R22:R23)</f>
        <v>91</v>
      </c>
      <c r="S21" s="332"/>
      <c r="T21" s="333"/>
      <c r="U21" s="333"/>
      <c r="V21" s="334"/>
      <c r="W21" s="279">
        <f>SUM(W22:W23)</f>
        <v>4</v>
      </c>
      <c r="X21" s="216">
        <f>SUM(X22:X23)</f>
        <v>4</v>
      </c>
      <c r="Y21" s="220">
        <f>SUM(Y22:Y23)</f>
        <v>2.99</v>
      </c>
      <c r="Z21" s="280">
        <f>SUM(Z22:Z23)</f>
        <v>350</v>
      </c>
    </row>
    <row r="22" spans="2:28" ht="51" outlineLevel="1" x14ac:dyDescent="0.3">
      <c r="E22" s="121" t="str">
        <f t="shared" si="2"/>
        <v>T5</v>
      </c>
      <c r="F22" s="170">
        <f>IF(T22="Y",COUNTIF($T$8:T21,"Y")+1,0)</f>
        <v>5</v>
      </c>
      <c r="G22" s="285"/>
      <c r="H22" s="317" t="s">
        <v>169</v>
      </c>
      <c r="I22" s="312" t="s">
        <v>347</v>
      </c>
      <c r="J22" s="309" t="s">
        <v>103</v>
      </c>
      <c r="K22" s="310" t="s">
        <v>252</v>
      </c>
      <c r="L22" s="318">
        <f>80%</f>
        <v>0.8</v>
      </c>
      <c r="M22" s="309">
        <v>30</v>
      </c>
      <c r="N22" s="171">
        <f>IF(J22="Y",ROUND(L22*M22,2),0)</f>
        <v>24</v>
      </c>
      <c r="O22" s="172">
        <f>IF(J22="Y",ROUND(SUMIFS(GenAssumptions!$E:$E,GenAssumptions!$C:$C,$K22)*12/(251*8)/60*L22*M22,2),0)</f>
        <v>1.3</v>
      </c>
      <c r="P22" s="217">
        <f>ROUND(IF($O$5=$P$5,O22,IF($O$5=$Q$5,O22*GenAssumptions!$B$11,IF($O$5=$R$5,O22/GenAssumptions!$B$10,"ошибка в заполнении блока Курсы валют"))),2)</f>
        <v>1.3</v>
      </c>
      <c r="Q22" s="221">
        <f>ROUND(P22/GenAssumptions!$B$11,2)</f>
        <v>0.97</v>
      </c>
      <c r="R22" s="172">
        <f>IF(J22="Y",ROUND(SUMIFS(GenAssumptions!$D:$D,GenAssumptions!$C:$C,$K22)*12/(251*8)/60*L22*M22,2),0)</f>
        <v>91</v>
      </c>
      <c r="S22" s="335" t="s">
        <v>95</v>
      </c>
      <c r="T22" s="309" t="s">
        <v>103</v>
      </c>
      <c r="U22" s="318">
        <f>L22</f>
        <v>0.8</v>
      </c>
      <c r="V22" s="312" t="s">
        <v>267</v>
      </c>
      <c r="W22" s="172">
        <f>IF(T22="Y",ROUND(SUMIFS(GenAssumptions!$E:$E,GenAssumptions!$C:$C,$S22)*U22,2),0)</f>
        <v>4</v>
      </c>
      <c r="X22" s="217">
        <f>ROUND(IF($W$5=$X$5,W22,IF($W$5=$Y$5,W22*GenAssumptions!$B$11,IF($W$5=$Z$5,W22/GenAssumptions!$B$10,"ошибка в заполнении блока Курсы валют"))),2)</f>
        <v>4</v>
      </c>
      <c r="Y22" s="221">
        <f>ROUND(X22/GenAssumptions!$B$11,2)</f>
        <v>2.99</v>
      </c>
      <c r="Z22" s="283">
        <v>350</v>
      </c>
    </row>
    <row r="23" spans="2:28" ht="14.1" customHeight="1" outlineLevel="1" x14ac:dyDescent="0.3">
      <c r="E23" s="121" t="str">
        <f t="shared" si="2"/>
        <v>00</v>
      </c>
      <c r="F23" s="170">
        <f>IF(T23="Y",COUNTIF($T$8:T22,"Y")+1,0)</f>
        <v>0</v>
      </c>
      <c r="G23" s="281"/>
      <c r="H23" s="307" t="s">
        <v>348</v>
      </c>
      <c r="I23" s="312"/>
      <c r="J23" s="309" t="s">
        <v>104</v>
      </c>
      <c r="K23" s="310" t="s">
        <v>21</v>
      </c>
      <c r="L23" s="318">
        <v>0.1</v>
      </c>
      <c r="M23" s="309">
        <v>20</v>
      </c>
      <c r="N23" s="171">
        <f>IF(J23="Y",ROUND(L23*M23,2),0)</f>
        <v>0</v>
      </c>
      <c r="O23" s="172">
        <f>IF(J23="Y",ROUND(SUMIFS(GenAssumptions!$E:$E,GenAssumptions!$C:$C,$K23)*12/(251*8)/60*L23*M23,2),0)</f>
        <v>0</v>
      </c>
      <c r="P23" s="217">
        <f>ROUND(IF($O$5=$P$5,O23,IF($O$5=$Q$5,O23*GenAssumptions!$B$11,IF($O$5=$R$5,O23/GenAssumptions!$B$10,"ошибка в заполнении блока Курсы валют"))),2)</f>
        <v>0</v>
      </c>
      <c r="Q23" s="221">
        <f>ROUND(P23/GenAssumptions!$B$11,2)</f>
        <v>0</v>
      </c>
      <c r="R23" s="172">
        <f>IF(J23="Y",ROUND(SUMIFS(GenAssumptions!$D:$D,GenAssumptions!$C:$C,$K23)*12/(251*8)/60*L23*M23,2),0)</f>
        <v>0</v>
      </c>
      <c r="S23" s="335"/>
      <c r="T23" s="311"/>
      <c r="U23" s="311"/>
      <c r="V23" s="323"/>
      <c r="W23" s="172">
        <f>IF(T23="Y",ROUND(SUMIFS(GenAssumptions!$E:$E,GenAssumptions!$C:$C,$S23)*U23,2),0)</f>
        <v>0</v>
      </c>
      <c r="X23" s="217">
        <f>ROUND(IF($W$5=$X$5,W23,IF($W$5=$Y$5,W23*GenAssumptions!$B$11,IF($W$5=$Z$5,W23/GenAssumptions!$B$10,"ошибка в заполнении блока Курсы валют"))),2)</f>
        <v>0</v>
      </c>
      <c r="Y23" s="221">
        <f>ROUND(X23/GenAssumptions!$B$11,2)</f>
        <v>0</v>
      </c>
      <c r="Z23" s="283">
        <f>IF(T23="Y",ROUND(SUMIFS(GenAssumptions!$D:$D,GenAssumptions!$C:$C,$S23)*U23,2),0)</f>
        <v>0</v>
      </c>
    </row>
    <row r="24" spans="2:28" outlineLevel="1" x14ac:dyDescent="0.3">
      <c r="B24" s="121" t="str">
        <f>IF(O24&lt;&gt;0,"S1",0)&amp;C24</f>
        <v>S15</v>
      </c>
      <c r="C24" s="170">
        <f>IF(O24&lt;&gt;0,COUNTIF(D7:D23,"Y")+1,0)</f>
        <v>5</v>
      </c>
      <c r="D24" s="170" t="str">
        <f>IF(C24&lt;&gt;0,"Y",)</f>
        <v>Y</v>
      </c>
      <c r="E24" s="170" t="str">
        <f t="shared" si="2"/>
        <v>0</v>
      </c>
      <c r="F24" s="170"/>
      <c r="G24" s="278" t="s">
        <v>128</v>
      </c>
      <c r="H24" s="303" t="s">
        <v>350</v>
      </c>
      <c r="I24" s="304"/>
      <c r="J24" s="305"/>
      <c r="K24" s="306"/>
      <c r="L24" s="306"/>
      <c r="M24" s="306"/>
      <c r="N24" s="279"/>
      <c r="O24" s="279">
        <f>SUM(O25:O29)</f>
        <v>0.14000000000000001</v>
      </c>
      <c r="P24" s="216">
        <f>SUM(P25:P29)</f>
        <v>0.14000000000000001</v>
      </c>
      <c r="Q24" s="220">
        <f>SUM(Q25:Q29)</f>
        <v>0.1</v>
      </c>
      <c r="R24" s="279">
        <f>SUM(R25:R29)</f>
        <v>9.9600000000000009</v>
      </c>
      <c r="S24" s="332"/>
      <c r="T24" s="333"/>
      <c r="U24" s="333"/>
      <c r="V24" s="334"/>
      <c r="W24" s="279">
        <f>SUM(W25:W29)</f>
        <v>0</v>
      </c>
      <c r="X24" s="216">
        <f>SUM(X25:X29)</f>
        <v>0</v>
      </c>
      <c r="Y24" s="220">
        <f>SUM(Y25:Y29)</f>
        <v>0</v>
      </c>
      <c r="Z24" s="280">
        <f>SUM(Z25:Z29)</f>
        <v>0</v>
      </c>
    </row>
    <row r="25" spans="2:28" outlineLevel="1" x14ac:dyDescent="0.3">
      <c r="E25" s="121" t="str">
        <f t="shared" si="2"/>
        <v>00</v>
      </c>
      <c r="F25" s="170">
        <f>IF(T25="Y",COUNTIF($T$8:T24,"Y")+1,0)</f>
        <v>0</v>
      </c>
      <c r="G25" s="285"/>
      <c r="H25" s="307" t="s">
        <v>85</v>
      </c>
      <c r="I25" s="312"/>
      <c r="J25" s="309" t="s">
        <v>103</v>
      </c>
      <c r="K25" s="310" t="s">
        <v>25</v>
      </c>
      <c r="L25" s="313">
        <v>0.1</v>
      </c>
      <c r="M25" s="309">
        <v>40</v>
      </c>
      <c r="N25" s="171">
        <f>IF(J25="Y",ROUND(L25*M25,2),0)</f>
        <v>4</v>
      </c>
      <c r="O25" s="172">
        <f>IF(J25="Y",ROUND(SUMIFS(GenAssumptions!$E:$E,GenAssumptions!$C:$C,$K25)*12/(251*8)/60*L25*M25,2),0)</f>
        <v>0.14000000000000001</v>
      </c>
      <c r="P25" s="217">
        <f>ROUND(IF($O$5=$P$5,O25,IF($O$5=$Q$5,O25*GenAssumptions!$B$11,IF($O$5=$R$5,O25/GenAssumptions!$B$10,"ошибка в заполнении блока Курсы валют"))),2)</f>
        <v>0.14000000000000001</v>
      </c>
      <c r="Q25" s="221">
        <f>ROUND(P25/GenAssumptions!$B$11,2)</f>
        <v>0.1</v>
      </c>
      <c r="R25" s="172">
        <f>IF(J25="Y",ROUND(SUMIFS(GenAssumptions!$D:$D,GenAssumptions!$C:$C,$K25)*12/(251*8)/60*L25*M25,2),0)</f>
        <v>9.9600000000000009</v>
      </c>
      <c r="S25" s="335"/>
      <c r="T25" s="311"/>
      <c r="U25" s="311"/>
      <c r="V25" s="323"/>
      <c r="W25" s="172">
        <f>IF(T25="Y",ROUND(SUMIFS(GenAssumptions!$E:$E,GenAssumptions!$C:$C,$S25)*U25,2),0)</f>
        <v>0</v>
      </c>
      <c r="X25" s="217">
        <f>ROUND(IF($W$5=$X$5,W25,IF($W$5=$Y$5,W25*GenAssumptions!$B$11,IF($W$5=$Z$5,W25/GenAssumptions!$B$10,"ошибка в заполнении блока Курсы валют"))),2)</f>
        <v>0</v>
      </c>
      <c r="Y25" s="221">
        <f>ROUND(X25/GenAssumptions!$B$11,2)</f>
        <v>0</v>
      </c>
      <c r="Z25" s="283">
        <f>IF(T25="Y",ROUND(SUMIFS(GenAssumptions!$D:$D,GenAssumptions!$C:$C,$S25)*U25,2),0)</f>
        <v>0</v>
      </c>
    </row>
    <row r="26" spans="2:28" outlineLevel="1" x14ac:dyDescent="0.3">
      <c r="E26" s="121" t="str">
        <f>IF(T26="Y","T",0)&amp;F26</f>
        <v>00</v>
      </c>
      <c r="F26" s="170">
        <f>IF(T26="Y",COUNTIF($T$8:T25,"Y")+1,0)</f>
        <v>0</v>
      </c>
      <c r="G26" s="285"/>
      <c r="H26" s="307"/>
      <c r="I26" s="312"/>
      <c r="J26" s="311"/>
      <c r="K26" s="310"/>
      <c r="L26" s="311"/>
      <c r="M26" s="311"/>
      <c r="N26" s="171">
        <f>IF(J26="Y",ROUND(L26*M26,2),0)</f>
        <v>0</v>
      </c>
      <c r="O26" s="172">
        <f>IF(J26="Y",ROUND(SUMIFS(GenAssumptions!$E:$E,GenAssumptions!$C:$C,$K26)*12/(251*8)/60*L26*M26,2),0)</f>
        <v>0</v>
      </c>
      <c r="P26" s="217">
        <f>ROUND(IF($O$5=$P$5,O26,IF($O$5=$Q$5,O26*GenAssumptions!$B$11,IF($O$5=$R$5,O26/GenAssumptions!$B$10,"ошибка в заполнении блока Курсы валют"))),2)</f>
        <v>0</v>
      </c>
      <c r="Q26" s="221">
        <f>ROUND(P26/GenAssumptions!$B$11,2)</f>
        <v>0</v>
      </c>
      <c r="R26" s="172">
        <f>IF(J26="Y",ROUND(SUMIFS(GenAssumptions!$D:$D,GenAssumptions!$C:$C,$K26)*12/(251*8)/60*L26*M26,2),0)</f>
        <v>0</v>
      </c>
      <c r="S26" s="335"/>
      <c r="T26" s="311"/>
      <c r="U26" s="311"/>
      <c r="V26" s="323"/>
      <c r="W26" s="172">
        <f>IF(T26="Y",ROUND(SUMIFS(GenAssumptions!$E:$E,GenAssumptions!$C:$C,$S26)*U26,2),0)</f>
        <v>0</v>
      </c>
      <c r="X26" s="217">
        <f>ROUND(IF($W$5=$X$5,W26,IF($W$5=$Y$5,W26*GenAssumptions!$B$11,IF($W$5=$Z$5,W26/GenAssumptions!$B$10,"ошибка в заполнении блока Курсы валют"))),2)</f>
        <v>0</v>
      </c>
      <c r="Y26" s="221">
        <f>ROUND(X26/GenAssumptions!$B$11,2)</f>
        <v>0</v>
      </c>
      <c r="Z26" s="283">
        <f>IF(T26="Y",ROUND(SUMIFS(GenAssumptions!$D:$D,GenAssumptions!$C:$C,$S26)*U26,2),0)</f>
        <v>0</v>
      </c>
    </row>
    <row r="27" spans="2:28" outlineLevel="1" x14ac:dyDescent="0.3">
      <c r="E27" s="121" t="str">
        <f t="shared" ref="E27:E29" si="8">IF(T27="Y","T",0)&amp;F27</f>
        <v>00</v>
      </c>
      <c r="F27" s="170">
        <f>IF(T27="Y",COUNTIF($T$8:T26,"Y")+1,0)</f>
        <v>0</v>
      </c>
      <c r="G27" s="285"/>
      <c r="H27" s="307"/>
      <c r="I27" s="312"/>
      <c r="J27" s="311"/>
      <c r="K27" s="310"/>
      <c r="L27" s="311"/>
      <c r="M27" s="311"/>
      <c r="N27" s="171">
        <f t="shared" ref="N27:N29" si="9">IF(J27="Y",ROUND(L27*M27,2),0)</f>
        <v>0</v>
      </c>
      <c r="O27" s="172">
        <f>IF(J27="Y",ROUND(SUMIFS(GenAssumptions!$E:$E,GenAssumptions!$C:$C,$K27)*12/(251*8)/60*L27*M27,2),0)</f>
        <v>0</v>
      </c>
      <c r="P27" s="217">
        <f>ROUND(IF($O$5=$P$5,O27,IF($O$5=$Q$5,O27*GenAssumptions!$B$11,IF($O$5=$R$5,O27/GenAssumptions!$B$10,"ошибка в заполнении блока Курсы валют"))),2)</f>
        <v>0</v>
      </c>
      <c r="Q27" s="221">
        <f>ROUND(P27/GenAssumptions!$B$11,2)</f>
        <v>0</v>
      </c>
      <c r="R27" s="172">
        <f>IF(J27="Y",ROUND(SUMIFS(GenAssumptions!$D:$D,GenAssumptions!$C:$C,$K27)*12/(251*8)/60*L27*M27,2),0)</f>
        <v>0</v>
      </c>
      <c r="S27" s="335"/>
      <c r="T27" s="311"/>
      <c r="U27" s="311"/>
      <c r="V27" s="323"/>
      <c r="W27" s="172">
        <f>IF(T27="Y",ROUND(SUMIFS(GenAssumptions!$E:$E,GenAssumptions!$C:$C,$S27)*U27,2),0)</f>
        <v>0</v>
      </c>
      <c r="X27" s="217">
        <f>ROUND(IF($W$5=$X$5,W27,IF($W$5=$Y$5,W27*GenAssumptions!$B$11,IF($W$5=$Z$5,W27/GenAssumptions!$B$10,"ошибка в заполнении блока Курсы валют"))),2)</f>
        <v>0</v>
      </c>
      <c r="Y27" s="221">
        <f>ROUND(X27/GenAssumptions!$B$11,2)</f>
        <v>0</v>
      </c>
      <c r="Z27" s="283">
        <f>IF(T27="Y",ROUND(SUMIFS(GenAssumptions!$D:$D,GenAssumptions!$C:$C,$S27)*U27,2),0)</f>
        <v>0</v>
      </c>
    </row>
    <row r="28" spans="2:28" outlineLevel="1" x14ac:dyDescent="0.3">
      <c r="E28" s="121" t="str">
        <f t="shared" si="8"/>
        <v>00</v>
      </c>
      <c r="F28" s="170">
        <f>IF(T28="Y",COUNTIF($T$8:T27,"Y")+1,0)</f>
        <v>0</v>
      </c>
      <c r="G28" s="285"/>
      <c r="H28" s="307"/>
      <c r="I28" s="312"/>
      <c r="J28" s="311"/>
      <c r="K28" s="310"/>
      <c r="L28" s="311"/>
      <c r="M28" s="311"/>
      <c r="N28" s="171">
        <f t="shared" si="9"/>
        <v>0</v>
      </c>
      <c r="O28" s="172">
        <f>IF(J28="Y",ROUND(SUMIFS(GenAssumptions!$E:$E,GenAssumptions!$C:$C,$K28)*12/(251*8)/60*L28*M28,2),0)</f>
        <v>0</v>
      </c>
      <c r="P28" s="217">
        <f>ROUND(IF($O$5=$P$5,O28,IF($O$5=$Q$5,O28*GenAssumptions!$B$11,IF($O$5=$R$5,O28/GenAssumptions!$B$10,"ошибка в заполнении блока Курсы валют"))),2)</f>
        <v>0</v>
      </c>
      <c r="Q28" s="221">
        <f>ROUND(P28/GenAssumptions!$B$11,2)</f>
        <v>0</v>
      </c>
      <c r="R28" s="172">
        <f>IF(J28="Y",ROUND(SUMIFS(GenAssumptions!$D:$D,GenAssumptions!$C:$C,$K28)*12/(251*8)/60*L28*M28,2),0)</f>
        <v>0</v>
      </c>
      <c r="S28" s="335"/>
      <c r="T28" s="311"/>
      <c r="U28" s="311"/>
      <c r="V28" s="323"/>
      <c r="W28" s="172">
        <f>IF(T28="Y",ROUND(SUMIFS(GenAssumptions!$E:$E,GenAssumptions!$C:$C,$S28)*U28,2),0)</f>
        <v>0</v>
      </c>
      <c r="X28" s="217">
        <f>ROUND(IF($W$5=$X$5,W28,IF($W$5=$Y$5,W28*GenAssumptions!$B$11,IF($W$5=$Z$5,W28/GenAssumptions!$B$10,"ошибка в заполнении блока Курсы валют"))),2)</f>
        <v>0</v>
      </c>
      <c r="Y28" s="221">
        <f>ROUND(X28/GenAssumptions!$B$11,2)</f>
        <v>0</v>
      </c>
      <c r="Z28" s="283">
        <f>IF(T28="Y",ROUND(SUMIFS(GenAssumptions!$D:$D,GenAssumptions!$C:$C,$S28)*U28,2),0)</f>
        <v>0</v>
      </c>
    </row>
    <row r="29" spans="2:28" outlineLevel="1" x14ac:dyDescent="0.3">
      <c r="E29" s="121" t="str">
        <f t="shared" si="8"/>
        <v>00</v>
      </c>
      <c r="F29" s="170">
        <f>IF(T29="Y",COUNTIF($T$8:T28,"Y")+1,0)</f>
        <v>0</v>
      </c>
      <c r="G29" s="285"/>
      <c r="H29" s="307"/>
      <c r="I29" s="312"/>
      <c r="J29" s="311"/>
      <c r="K29" s="310"/>
      <c r="L29" s="311"/>
      <c r="M29" s="311"/>
      <c r="N29" s="171">
        <f t="shared" si="9"/>
        <v>0</v>
      </c>
      <c r="O29" s="172">
        <f>IF(J29="Y",ROUND(SUMIFS(GenAssumptions!$E:$E,GenAssumptions!$C:$C,$K29)*12/(251*8)/60*L29*M29,2),0)</f>
        <v>0</v>
      </c>
      <c r="P29" s="217">
        <f>ROUND(IF($O$5=$P$5,O29,IF($O$5=$Q$5,O29*GenAssumptions!$B$11,IF($O$5=$R$5,O29/GenAssumptions!$B$10,"ошибка в заполнении блока Курсы валют"))),2)</f>
        <v>0</v>
      </c>
      <c r="Q29" s="221">
        <f>ROUND(P29/GenAssumptions!$B$11,2)</f>
        <v>0</v>
      </c>
      <c r="R29" s="172">
        <f>IF(J29="Y",ROUND(SUMIFS(GenAssumptions!$D:$D,GenAssumptions!$C:$C,$K29)*12/(251*8)/60*L29*M29,2),0)</f>
        <v>0</v>
      </c>
      <c r="S29" s="335"/>
      <c r="T29" s="311"/>
      <c r="U29" s="311"/>
      <c r="V29" s="323"/>
      <c r="W29" s="172">
        <f>IF(T29="Y",ROUND(SUMIFS(GenAssumptions!$E:$E,GenAssumptions!$C:$C,$S29)*U29,2),0)</f>
        <v>0</v>
      </c>
      <c r="X29" s="217">
        <f>ROUND(IF($W$5=$X$5,W29,IF($W$5=$Y$5,W29*GenAssumptions!$B$11,IF($W$5=$Z$5,W29/GenAssumptions!$B$10,"ошибка в заполнении блока Курсы валют"))),2)</f>
        <v>0</v>
      </c>
      <c r="Y29" s="221">
        <f>ROUND(X29/GenAssumptions!$B$11,2)</f>
        <v>0</v>
      </c>
      <c r="Z29" s="283">
        <f>IF(T29="Y",ROUND(SUMIFS(GenAssumptions!$D:$D,GenAssumptions!$C:$C,$S29)*U29,2),0)</f>
        <v>0</v>
      </c>
    </row>
    <row r="30" spans="2:28" s="169" customFormat="1" x14ac:dyDescent="0.3">
      <c r="E30" s="121" t="str">
        <f t="shared" si="2"/>
        <v>00</v>
      </c>
      <c r="F30" s="170">
        <f>IF(T30="Y",COUNTIF($T$8:T25,"Y")+1,0)</f>
        <v>0</v>
      </c>
      <c r="G30" s="238" t="s">
        <v>119</v>
      </c>
      <c r="H30" s="299" t="s">
        <v>12</v>
      </c>
      <c r="I30" s="300"/>
      <c r="J30" s="301"/>
      <c r="K30" s="302"/>
      <c r="L30" s="319"/>
      <c r="M30" s="319"/>
      <c r="N30" s="276"/>
      <c r="O30" s="276">
        <f>O31+O39+O47+O50+O53</f>
        <v>5.54</v>
      </c>
      <c r="P30" s="215">
        <f t="shared" ref="P30:R30" si="10">P31+P39+P47+P50+P53</f>
        <v>5.54</v>
      </c>
      <c r="Q30" s="219">
        <f t="shared" si="10"/>
        <v>4.12</v>
      </c>
      <c r="R30" s="276">
        <f t="shared" si="10"/>
        <v>388.1</v>
      </c>
      <c r="S30" s="330"/>
      <c r="T30" s="319"/>
      <c r="U30" s="319"/>
      <c r="V30" s="331"/>
      <c r="W30" s="210">
        <f t="shared" ref="W30:Z30" si="11">W31+W39+W47+W50+W53</f>
        <v>42.86</v>
      </c>
      <c r="X30" s="215">
        <f t="shared" si="11"/>
        <v>42.86</v>
      </c>
      <c r="Y30" s="219">
        <f t="shared" si="11"/>
        <v>31.99</v>
      </c>
      <c r="Z30" s="277">
        <f t="shared" si="11"/>
        <v>6000</v>
      </c>
      <c r="AB30" s="121"/>
    </row>
    <row r="31" spans="2:28" outlineLevel="1" x14ac:dyDescent="0.3">
      <c r="B31" s="121" t="str">
        <f>IF(O31&lt;&gt;0,"S2",0)&amp;C31</f>
        <v>S21</v>
      </c>
      <c r="C31" s="170">
        <v>1</v>
      </c>
      <c r="D31" s="170" t="str">
        <f>IF(C31&lt;&gt;0,"Y",)</f>
        <v>Y</v>
      </c>
      <c r="E31" s="170" t="str">
        <f t="shared" ref="E31:E38" si="12">IF(T31="Y","T",0)&amp;F31</f>
        <v>0</v>
      </c>
      <c r="F31" s="170"/>
      <c r="G31" s="278" t="s">
        <v>355</v>
      </c>
      <c r="H31" s="303" t="s">
        <v>365</v>
      </c>
      <c r="I31" s="304"/>
      <c r="J31" s="305"/>
      <c r="K31" s="306"/>
      <c r="L31" s="306"/>
      <c r="M31" s="306"/>
      <c r="N31" s="279"/>
      <c r="O31" s="279">
        <f>SUM(O32:O38)</f>
        <v>2.71</v>
      </c>
      <c r="P31" s="216">
        <f>SUM(P32:P38)</f>
        <v>2.71</v>
      </c>
      <c r="Q31" s="220">
        <f>SUM(Q32:Q38)</f>
        <v>2.02</v>
      </c>
      <c r="R31" s="279">
        <f>SUM(R32:R38)</f>
        <v>189.59</v>
      </c>
      <c r="S31" s="332"/>
      <c r="T31" s="333"/>
      <c r="U31" s="333"/>
      <c r="V31" s="334"/>
      <c r="W31" s="279">
        <f>SUM(W32:W38)</f>
        <v>42.86</v>
      </c>
      <c r="X31" s="216">
        <f>SUM(X32:X38)</f>
        <v>42.86</v>
      </c>
      <c r="Y31" s="220">
        <f>SUM(Y32:Y38)</f>
        <v>31.99</v>
      </c>
      <c r="Z31" s="280">
        <f>SUM(Z32:Z38)</f>
        <v>6000</v>
      </c>
    </row>
    <row r="32" spans="2:28" outlineLevel="1" x14ac:dyDescent="0.3">
      <c r="E32" s="121" t="str">
        <f t="shared" si="12"/>
        <v>T6</v>
      </c>
      <c r="F32" s="170">
        <f>IF(T32="Y",COUNTIF($T$8:T31,"Y")+1,0)</f>
        <v>6</v>
      </c>
      <c r="G32" s="281"/>
      <c r="H32" s="307" t="s">
        <v>102</v>
      </c>
      <c r="I32" s="308"/>
      <c r="J32" s="309" t="s">
        <v>103</v>
      </c>
      <c r="K32" s="310" t="s">
        <v>19</v>
      </c>
      <c r="L32" s="309">
        <v>10</v>
      </c>
      <c r="M32" s="309">
        <v>5</v>
      </c>
      <c r="N32" s="171">
        <f t="shared" ref="N32:N38" si="13">IF(J32="Y",ROUND(L32*M32,2),0)</f>
        <v>50</v>
      </c>
      <c r="O32" s="172">
        <f>IF(J32="Y",ROUND(SUMIFS(GenAssumptions!$E:$E,GenAssumptions!$C:$C,$K32)*12/(251*8)/60*L32*M32,2),0)</f>
        <v>2.71</v>
      </c>
      <c r="P32" s="217">
        <f>ROUND(IF($O$5=$P$5,O32,IF($O$5=$Q$5,O32*GenAssumptions!$B$11,IF($O$5=$R$5,O32/GenAssumptions!$B$10,"ошибка в заполнении блока Курсы валют"))),2)</f>
        <v>2.71</v>
      </c>
      <c r="Q32" s="221">
        <f>ROUND(P32/GenAssumptions!$B$11,2)</f>
        <v>2.02</v>
      </c>
      <c r="R32" s="172">
        <f>IF(J32="Y",ROUND(SUMIFS(GenAssumptions!$D:$D,GenAssumptions!$C:$C,$K32)*12/(251*8)/60*L32*M32,2),0)</f>
        <v>189.59</v>
      </c>
      <c r="S32" s="335" t="s">
        <v>89</v>
      </c>
      <c r="T32" s="309" t="s">
        <v>103</v>
      </c>
      <c r="U32" s="313">
        <v>0.5</v>
      </c>
      <c r="V32" s="323"/>
      <c r="W32" s="172">
        <f>IF(T32="Y",ROUND(SUMIFS(GenAssumptions!$E:$E,GenAssumptions!$C:$C,$S32)*U32,2),0)</f>
        <v>42.86</v>
      </c>
      <c r="X32" s="217">
        <f>ROUND(IF($W$5=$X$5,W32,IF($W$5=$Y$5,W32*GenAssumptions!$B$11,IF($W$5=$Z$5,W32/GenAssumptions!$B$10,"ошибка в заполнении блока Курсы валют"))),2)</f>
        <v>42.86</v>
      </c>
      <c r="Y32" s="221">
        <f>ROUND(X32/GenAssumptions!$B$11,2)</f>
        <v>31.99</v>
      </c>
      <c r="Z32" s="283">
        <v>6000</v>
      </c>
    </row>
    <row r="33" spans="2:28" ht="25.5" outlineLevel="1" x14ac:dyDescent="0.3">
      <c r="E33" s="121" t="str">
        <f t="shared" si="12"/>
        <v>00</v>
      </c>
      <c r="F33" s="170">
        <f>IF(T33="Y",COUNTIF($T$8:T32,"Y")+1,0)</f>
        <v>0</v>
      </c>
      <c r="G33" s="281"/>
      <c r="H33" s="307" t="s">
        <v>300</v>
      </c>
      <c r="I33" s="308"/>
      <c r="J33" s="309" t="s">
        <v>104</v>
      </c>
      <c r="K33" s="310" t="s">
        <v>21</v>
      </c>
      <c r="L33" s="313">
        <v>0.15</v>
      </c>
      <c r="M33" s="309">
        <v>15</v>
      </c>
      <c r="N33" s="171">
        <f t="shared" si="13"/>
        <v>0</v>
      </c>
      <c r="O33" s="172">
        <f>IF(J33="Y",ROUND(SUMIFS(GenAssumptions!$E:$E,GenAssumptions!$C:$C,$K33)*12/(251*8)/60*L33*M33,2),0)</f>
        <v>0</v>
      </c>
      <c r="P33" s="217">
        <f>ROUND(IF($O$5=$P$5,O33,IF($O$5=$Q$5,O33*GenAssumptions!$B$11,IF($O$5=$R$5,O33/GenAssumptions!$B$10,"ошибка в заполнении блока Курсы валют"))),2)</f>
        <v>0</v>
      </c>
      <c r="Q33" s="221">
        <f>ROUND(P33/GenAssumptions!$B$11,2)</f>
        <v>0</v>
      </c>
      <c r="R33" s="172">
        <f>IF(J33="Y",ROUND(SUMIFS(GenAssumptions!$D:$D,GenAssumptions!$C:$C,$K33)*12/(251*8)/60*L33*M33,2),0)</f>
        <v>0</v>
      </c>
      <c r="S33" s="335"/>
      <c r="T33" s="309"/>
      <c r="U33" s="313"/>
      <c r="V33" s="323"/>
      <c r="W33" s="172">
        <f>IF(T33="Y",ROUND(SUMIFS(GenAssumptions!$E:$E,GenAssumptions!$C:$C,$S33)*U33,2),0)</f>
        <v>0</v>
      </c>
      <c r="X33" s="217">
        <f>ROUND(IF($W$5=$X$5,W33,IF($W$5=$Y$5,W33*GenAssumptions!$B$11,IF($W$5=$Z$5,W33/GenAssumptions!$B$10,"ошибка в заполнении блока Курсы валют"))),2)</f>
        <v>0</v>
      </c>
      <c r="Y33" s="221">
        <f>ROUND(X33/GenAssumptions!$B$11,2)</f>
        <v>0</v>
      </c>
      <c r="Z33" s="283"/>
    </row>
    <row r="34" spans="2:28" ht="25.5" outlineLevel="1" x14ac:dyDescent="0.3">
      <c r="E34" s="121" t="str">
        <f t="shared" si="12"/>
        <v>00</v>
      </c>
      <c r="F34" s="170">
        <f>IF(T34="Y",COUNTIF($T$8:T33,"Y")+1,0)</f>
        <v>0</v>
      </c>
      <c r="G34" s="281"/>
      <c r="H34" s="307" t="s">
        <v>300</v>
      </c>
      <c r="I34" s="308"/>
      <c r="J34" s="309" t="s">
        <v>104</v>
      </c>
      <c r="K34" s="310" t="s">
        <v>22</v>
      </c>
      <c r="L34" s="313">
        <v>0.15</v>
      </c>
      <c r="M34" s="309">
        <v>15</v>
      </c>
      <c r="N34" s="171">
        <f t="shared" si="13"/>
        <v>0</v>
      </c>
      <c r="O34" s="172">
        <f>IF(J34="Y",ROUND(SUMIFS(GenAssumptions!$E:$E,GenAssumptions!$C:$C,$K34)*12/(251*8)/60*L34*M34,2),0)</f>
        <v>0</v>
      </c>
      <c r="P34" s="217">
        <f>ROUND(IF($O$5=$P$5,O34,IF($O$5=$Q$5,O34*GenAssumptions!$B$11,IF($O$5=$R$5,O34/GenAssumptions!$B$10,"ошибка в заполнении блока Курсы валют"))),2)</f>
        <v>0</v>
      </c>
      <c r="Q34" s="221">
        <f>ROUND(P34/GenAssumptions!$B$11,2)</f>
        <v>0</v>
      </c>
      <c r="R34" s="172">
        <f>IF(J34="Y",ROUND(SUMIFS(GenAssumptions!$D:$D,GenAssumptions!$C:$C,$K34)*12/(251*8)/60*L34*M34,2),0)</f>
        <v>0</v>
      </c>
      <c r="S34" s="335"/>
      <c r="T34" s="309"/>
      <c r="U34" s="309"/>
      <c r="V34" s="323"/>
      <c r="W34" s="172">
        <f>IF(T34="Y",ROUND(SUMIFS(GenAssumptions!$E:$E,GenAssumptions!$C:$C,$S34)*U34,2),0)</f>
        <v>0</v>
      </c>
      <c r="X34" s="217">
        <f>ROUND(IF($W$5=$X$5,W34,IF($W$5=$Y$5,W34*GenAssumptions!$B$11,IF($W$5=$Z$5,W34/GenAssumptions!$B$10,"ошибка в заполнении блока Курсы валют"))),2)</f>
        <v>0</v>
      </c>
      <c r="Y34" s="221">
        <f>ROUND(X34/GenAssumptions!$B$11,2)</f>
        <v>0</v>
      </c>
      <c r="Z34" s="283">
        <f>IF(T34="Y",ROUND(SUMIFS(GenAssumptions!$D:$D,GenAssumptions!$C:$C,$S34)*U34,2),0)</f>
        <v>0</v>
      </c>
    </row>
    <row r="35" spans="2:28" outlineLevel="1" x14ac:dyDescent="0.3">
      <c r="E35" s="121" t="str">
        <f t="shared" si="12"/>
        <v>00</v>
      </c>
      <c r="F35" s="170">
        <f>IF(T35="Y",COUNTIF($T$8:T34,"Y")+1,0)</f>
        <v>0</v>
      </c>
      <c r="G35" s="281"/>
      <c r="H35" s="307"/>
      <c r="I35" s="312"/>
      <c r="J35" s="311"/>
      <c r="K35" s="310"/>
      <c r="L35" s="311"/>
      <c r="M35" s="311"/>
      <c r="N35" s="171">
        <f t="shared" si="13"/>
        <v>0</v>
      </c>
      <c r="O35" s="172">
        <f>IF(J35="Y",ROUND(SUMIFS(GenAssumptions!$E:$E,GenAssumptions!$C:$C,$K35)*12/(251*8)/60*L35*M35,2),0)</f>
        <v>0</v>
      </c>
      <c r="P35" s="217">
        <f>ROUND(IF($O$5=$P$5,O35,IF($O$5=$Q$5,O35*GenAssumptions!$B$11,IF($O$5=$R$5,O35/GenAssumptions!$B$10,"ошибка в заполнении блока Курсы валют"))),2)</f>
        <v>0</v>
      </c>
      <c r="Q35" s="221">
        <f>ROUND(P35/GenAssumptions!$B$11,2)</f>
        <v>0</v>
      </c>
      <c r="R35" s="172">
        <f>IF(J35="Y",ROUND(SUMIFS(GenAssumptions!$D:$D,GenAssumptions!$C:$C,$K35)*12/(251*8)/60*L35*M35,2),0)</f>
        <v>0</v>
      </c>
      <c r="S35" s="335"/>
      <c r="T35" s="309"/>
      <c r="U35" s="313"/>
      <c r="V35" s="336"/>
      <c r="W35" s="172">
        <f>IF(T35="Y",ROUND(SUMIFS(GenAssumptions!$E:$E,GenAssumptions!$C:$C,$S35)*U35,2),0)</f>
        <v>0</v>
      </c>
      <c r="X35" s="217">
        <f>ROUND(IF($W$5=$X$5,W35,IF($W$5=$Y$5,W35*GenAssumptions!$B$11,IF($W$5=$Z$5,W35/GenAssumptions!$B$10,"ошибка в заполнении блока Курсы валют"))),2)</f>
        <v>0</v>
      </c>
      <c r="Y35" s="221">
        <f>ROUND(X35/GenAssumptions!$B$11,2)</f>
        <v>0</v>
      </c>
      <c r="Z35" s="283">
        <f>IF(T35="Y",ROUND(SUMIFS(GenAssumptions!$D:$D,GenAssumptions!$C:$C,$S35)*U35,2),0)</f>
        <v>0</v>
      </c>
    </row>
    <row r="36" spans="2:28" outlineLevel="1" x14ac:dyDescent="0.3">
      <c r="E36" s="121" t="str">
        <f t="shared" si="12"/>
        <v>00</v>
      </c>
      <c r="F36" s="170">
        <f>IF(T36="Y",COUNTIF($T$8:T35,"Y")+1,0)</f>
        <v>0</v>
      </c>
      <c r="G36" s="281"/>
      <c r="H36" s="307"/>
      <c r="I36" s="312"/>
      <c r="J36" s="311"/>
      <c r="K36" s="310"/>
      <c r="L36" s="311"/>
      <c r="M36" s="311"/>
      <c r="N36" s="171">
        <f t="shared" si="13"/>
        <v>0</v>
      </c>
      <c r="O36" s="172">
        <f>IF(J36="Y",ROUND(SUMIFS(GenAssumptions!$E:$E,GenAssumptions!$C:$C,$K36)*12/(251*8)/60*L36*M36,2),0)</f>
        <v>0</v>
      </c>
      <c r="P36" s="217">
        <f>ROUND(IF($O$5=$P$5,O36,IF($O$5=$Q$5,O36*GenAssumptions!$B$11,IF($O$5=$R$5,O36/GenAssumptions!$B$10,"ошибка в заполнении блока Курсы валют"))),2)</f>
        <v>0</v>
      </c>
      <c r="Q36" s="221">
        <f>ROUND(P36/GenAssumptions!$B$11,2)</f>
        <v>0</v>
      </c>
      <c r="R36" s="172">
        <f>IF(J36="Y",ROUND(SUMIFS(GenAssumptions!$D:$D,GenAssumptions!$C:$C,$K36)*12/(251*8)/60*L36*M36,2),0)</f>
        <v>0</v>
      </c>
      <c r="S36" s="335"/>
      <c r="T36" s="309"/>
      <c r="U36" s="313"/>
      <c r="V36" s="336"/>
      <c r="W36" s="172">
        <f>IF(T36="Y",ROUND(SUMIFS(GenAssumptions!$E:$E,GenAssumptions!$C:$C,$S36)*U36,2),0)</f>
        <v>0</v>
      </c>
      <c r="X36" s="217">
        <f>ROUND(IF($W$5=$X$5,W36,IF($W$5=$Y$5,W36*GenAssumptions!$B$11,IF($W$5=$Z$5,W36/GenAssumptions!$B$10,"ошибка в заполнении блока Курсы валют"))),2)</f>
        <v>0</v>
      </c>
      <c r="Y36" s="221">
        <f>ROUND(X36/GenAssumptions!$B$11,2)</f>
        <v>0</v>
      </c>
      <c r="Z36" s="283">
        <f>IF(T36="Y",ROUND(SUMIFS(GenAssumptions!$D:$D,GenAssumptions!$C:$C,$S36)*U36,2),0)</f>
        <v>0</v>
      </c>
    </row>
    <row r="37" spans="2:28" outlineLevel="1" x14ac:dyDescent="0.3">
      <c r="E37" s="121" t="str">
        <f t="shared" si="12"/>
        <v>00</v>
      </c>
      <c r="F37" s="170">
        <f>IF(T37="Y",COUNTIF($T$8:T36,"Y")+1,0)</f>
        <v>0</v>
      </c>
      <c r="G37" s="281"/>
      <c r="H37" s="307"/>
      <c r="I37" s="312"/>
      <c r="J37" s="311"/>
      <c r="K37" s="310"/>
      <c r="L37" s="311"/>
      <c r="M37" s="311"/>
      <c r="N37" s="171">
        <f t="shared" si="13"/>
        <v>0</v>
      </c>
      <c r="O37" s="172">
        <f>IF(J37="Y",ROUND(SUMIFS(GenAssumptions!$E:$E,GenAssumptions!$C:$C,$K37)*12/(251*8)/60*L37*M37,2),0)</f>
        <v>0</v>
      </c>
      <c r="P37" s="217">
        <f>ROUND(IF($O$5=$P$5,O37,IF($O$5=$Q$5,O37*GenAssumptions!$B$11,IF($O$5=$R$5,O37/GenAssumptions!$B$10,"ошибка в заполнении блока Курсы валют"))),2)</f>
        <v>0</v>
      </c>
      <c r="Q37" s="221">
        <f>ROUND(P37/GenAssumptions!$B$11,2)</f>
        <v>0</v>
      </c>
      <c r="R37" s="172">
        <f>IF(J37="Y",ROUND(SUMIFS(GenAssumptions!$D:$D,GenAssumptions!$C:$C,$K37)*12/(251*8)/60*L37*M37,2),0)</f>
        <v>0</v>
      </c>
      <c r="S37" s="335"/>
      <c r="T37" s="309"/>
      <c r="U37" s="313"/>
      <c r="V37" s="336"/>
      <c r="W37" s="172">
        <f>IF(T37="Y",ROUND(SUMIFS(GenAssumptions!$E:$E,GenAssumptions!$C:$C,$S37)*U37,2),0)</f>
        <v>0</v>
      </c>
      <c r="X37" s="217">
        <f>ROUND(IF($W$5=$X$5,W37,IF($W$5=$Y$5,W37*GenAssumptions!$B$11,IF($W$5=$Z$5,W37/GenAssumptions!$B$10,"ошибка в заполнении блока Курсы валют"))),2)</f>
        <v>0</v>
      </c>
      <c r="Y37" s="221">
        <f>ROUND(X37/GenAssumptions!$B$11,2)</f>
        <v>0</v>
      </c>
      <c r="Z37" s="283">
        <f>IF(T37="Y",ROUND(SUMIFS(GenAssumptions!$D:$D,GenAssumptions!$C:$C,$S37)*U37,2),0)</f>
        <v>0</v>
      </c>
    </row>
    <row r="38" spans="2:28" outlineLevel="1" x14ac:dyDescent="0.3">
      <c r="E38" s="121" t="str">
        <f t="shared" si="12"/>
        <v>00</v>
      </c>
      <c r="F38" s="170">
        <f>IF(T38="Y",COUNTIF($T$8:T37,"Y")+1,0)</f>
        <v>0</v>
      </c>
      <c r="G38" s="281"/>
      <c r="H38" s="307"/>
      <c r="I38" s="312"/>
      <c r="J38" s="311"/>
      <c r="K38" s="310"/>
      <c r="L38" s="311"/>
      <c r="M38" s="311"/>
      <c r="N38" s="171">
        <f t="shared" si="13"/>
        <v>0</v>
      </c>
      <c r="O38" s="172">
        <f>IF(J38="Y",ROUND(SUMIFS(GenAssumptions!$E:$E,GenAssumptions!$C:$C,$K38)*12/(251*8)/60*L38*M38,2),0)</f>
        <v>0</v>
      </c>
      <c r="P38" s="217">
        <f>ROUND(IF($O$5=$P$5,O38,IF($O$5=$Q$5,O38*GenAssumptions!$B$11,IF($O$5=$R$5,O38/GenAssumptions!$B$10,"ошибка в заполнении блока Курсы валют"))),2)</f>
        <v>0</v>
      </c>
      <c r="Q38" s="221">
        <f>ROUND(P38/GenAssumptions!$B$11,2)</f>
        <v>0</v>
      </c>
      <c r="R38" s="172">
        <f>IF(J38="Y",ROUND(SUMIFS(GenAssumptions!$D:$D,GenAssumptions!$C:$C,$K38)*12/(251*8)/60*L38*M38,2),0)</f>
        <v>0</v>
      </c>
      <c r="S38" s="335"/>
      <c r="T38" s="309"/>
      <c r="U38" s="313"/>
      <c r="V38" s="336"/>
      <c r="W38" s="172">
        <f>IF(T38="Y",ROUND(SUMIFS(GenAssumptions!$E:$E,GenAssumptions!$C:$C,$S38)*U38,2),0)</f>
        <v>0</v>
      </c>
      <c r="X38" s="217">
        <f>ROUND(IF($W$5=$X$5,W38,IF($W$5=$Y$5,W38*GenAssumptions!$B$11,IF($W$5=$Z$5,W38/GenAssumptions!$B$10,"ошибка в заполнении блока Курсы валют"))),2)</f>
        <v>0</v>
      </c>
      <c r="Y38" s="221">
        <f>ROUND(X38/GenAssumptions!$B$11,2)</f>
        <v>0</v>
      </c>
      <c r="Z38" s="283">
        <f>IF(T38="Y",ROUND(SUMIFS(GenAssumptions!$D:$D,GenAssumptions!$C:$C,$S38)*U38,2),0)</f>
        <v>0</v>
      </c>
    </row>
    <row r="39" spans="2:28" outlineLevel="1" x14ac:dyDescent="0.3">
      <c r="B39" s="121" t="str">
        <f>IF(O39&lt;&gt;0,"S2",0)&amp;C39</f>
        <v>S22</v>
      </c>
      <c r="C39" s="170">
        <f>IF(O39&lt;&gt;0,COUNTIF(D31:D38,"Y")+1,0)</f>
        <v>2</v>
      </c>
      <c r="D39" s="170" t="str">
        <f>IF(C39&lt;&gt;0,"Y",)</f>
        <v>Y</v>
      </c>
      <c r="E39" s="170" t="str">
        <f t="shared" si="2"/>
        <v>00</v>
      </c>
      <c r="F39" s="170">
        <f>IF(T39="Y",COUNTIF($T$8:T30,"Y")+1,0)</f>
        <v>0</v>
      </c>
      <c r="G39" s="278" t="s">
        <v>120</v>
      </c>
      <c r="H39" s="303" t="s">
        <v>308</v>
      </c>
      <c r="I39" s="304"/>
      <c r="J39" s="305"/>
      <c r="K39" s="306"/>
      <c r="L39" s="306"/>
      <c r="M39" s="306"/>
      <c r="N39" s="279"/>
      <c r="O39" s="279">
        <f>SUM(O40:O46)</f>
        <v>0.68</v>
      </c>
      <c r="P39" s="216">
        <f>SUM(P40:P46)</f>
        <v>0.68</v>
      </c>
      <c r="Q39" s="220">
        <f>SUM(Q40:Q46)</f>
        <v>0.5</v>
      </c>
      <c r="R39" s="279">
        <f>SUM(R40:R46)</f>
        <v>47.400000000000006</v>
      </c>
      <c r="S39" s="332"/>
      <c r="T39" s="333"/>
      <c r="U39" s="333"/>
      <c r="V39" s="334"/>
      <c r="W39" s="279">
        <f>SUM(W40:W46)</f>
        <v>0</v>
      </c>
      <c r="X39" s="216">
        <f>SUM(X40:X46)</f>
        <v>0</v>
      </c>
      <c r="Y39" s="220">
        <f>SUM(Y40:Y46)</f>
        <v>0</v>
      </c>
      <c r="Z39" s="280">
        <f>SUM(Z40:Z46)</f>
        <v>0</v>
      </c>
    </row>
    <row r="40" spans="2:28" s="59" customFormat="1" outlineLevel="1" x14ac:dyDescent="0.3">
      <c r="E40" s="121" t="str">
        <f t="shared" si="2"/>
        <v>00</v>
      </c>
      <c r="F40" s="170">
        <f>IF(T40="Y",COUNTIF($T$8:T39,"Y")+1,0)</f>
        <v>0</v>
      </c>
      <c r="G40" s="281"/>
      <c r="H40" s="307" t="s">
        <v>209</v>
      </c>
      <c r="I40" s="312" t="s">
        <v>141</v>
      </c>
      <c r="J40" s="309" t="s">
        <v>103</v>
      </c>
      <c r="K40" s="310" t="s">
        <v>19</v>
      </c>
      <c r="L40" s="313">
        <v>0.5</v>
      </c>
      <c r="M40" s="309">
        <v>5</v>
      </c>
      <c r="N40" s="171">
        <f t="shared" ref="N40:N46" si="14">IF(J40="Y",ROUND(L40*M40,2),0)</f>
        <v>2.5</v>
      </c>
      <c r="O40" s="172">
        <f>IF(J40="Y",ROUND(SUMIFS(GenAssumptions!$E:$E,GenAssumptions!$C:$C,$K40)*12/(251*8)/60*L40*M40,2),0)</f>
        <v>0.14000000000000001</v>
      </c>
      <c r="P40" s="217">
        <f>ROUND(IF($O$5=$P$5,O40,IF($O$5=$Q$5,O40*GenAssumptions!$B$11,IF($O$5=$R$5,O40/GenAssumptions!$B$10,"ошибка в заполнении блока Курсы валют"))),2)</f>
        <v>0.14000000000000001</v>
      </c>
      <c r="Q40" s="221">
        <f>ROUND(P40/GenAssumptions!$B$11,2)</f>
        <v>0.1</v>
      </c>
      <c r="R40" s="172">
        <f>IF(J40="Y",ROUND(SUMIFS(GenAssumptions!$D:$D,GenAssumptions!$C:$C,$K40)*12/(251*8)/60*L40*M40,2),0)</f>
        <v>9.48</v>
      </c>
      <c r="S40" s="335"/>
      <c r="T40" s="311"/>
      <c r="U40" s="338"/>
      <c r="V40" s="336"/>
      <c r="W40" s="172"/>
      <c r="X40" s="217">
        <f>ROUND(IF($W$5=$X$5,W40,IF($W$5=$Y$5,W40*GenAssumptions!$B$11,IF($W$5=$Z$5,W40/GenAssumptions!$B$10,"ошибка в заполнении блока Курсы валют"))),2)</f>
        <v>0</v>
      </c>
      <c r="Y40" s="221">
        <f>ROUND(X40/GenAssumptions!$B$11,2)</f>
        <v>0</v>
      </c>
      <c r="Z40" s="283">
        <f>IF(T40="Y",ROUND(SUMIFS(GenAssumptions!$D:$D,GenAssumptions!$C:$C,$S40)*U40,2),0)</f>
        <v>0</v>
      </c>
      <c r="AB40" s="121"/>
    </row>
    <row r="41" spans="2:28" s="59" customFormat="1" ht="38.25" outlineLevel="1" x14ac:dyDescent="0.3">
      <c r="E41" s="121" t="str">
        <f t="shared" si="2"/>
        <v>00</v>
      </c>
      <c r="F41" s="170">
        <f>IF(T41="Y",COUNTIF($T$8:T40,"Y")+1,0)</f>
        <v>0</v>
      </c>
      <c r="G41" s="281"/>
      <c r="H41" s="307" t="s">
        <v>208</v>
      </c>
      <c r="I41" s="312" t="s">
        <v>141</v>
      </c>
      <c r="J41" s="309" t="s">
        <v>104</v>
      </c>
      <c r="K41" s="310" t="s">
        <v>19</v>
      </c>
      <c r="L41" s="313">
        <v>0.18</v>
      </c>
      <c r="M41" s="309">
        <v>10</v>
      </c>
      <c r="N41" s="171">
        <f>IF(J41="Y",ROUND(L41*M41,2),0)</f>
        <v>0</v>
      </c>
      <c r="O41" s="172">
        <f>IF(J41="Y",ROUND(SUMIFS(GenAssumptions!$E:$E,GenAssumptions!$C:$C,$K41)*12/(251*8)/60*L41*M41,2),0)</f>
        <v>0</v>
      </c>
      <c r="P41" s="217">
        <f>ROUND(IF($O$5=$P$5,O41,IF($O$5=$Q$5,O41*GenAssumptions!$B$11,IF($O$5=$R$5,O41/GenAssumptions!$B$10,"ошибка в заполнении блока Курсы валют"))),2)</f>
        <v>0</v>
      </c>
      <c r="Q41" s="221">
        <f>ROUND(P41/GenAssumptions!$B$11,2)</f>
        <v>0</v>
      </c>
      <c r="R41" s="172">
        <f>IF(J41="Y",ROUND(SUMIFS(GenAssumptions!$D:$D,GenAssumptions!$C:$C,$K41)*12/(251*8)/60*L41*M41,2),0)</f>
        <v>0</v>
      </c>
      <c r="S41" s="335"/>
      <c r="T41" s="309"/>
      <c r="U41" s="338"/>
      <c r="V41" s="336"/>
      <c r="W41" s="172">
        <f>IF(T41="Y",ROUND(SUMIFS(GenAssumptions!$E:$E,GenAssumptions!$C:$C,$S41)*U41,2),0)</f>
        <v>0</v>
      </c>
      <c r="X41" s="217">
        <f>ROUND(IF($W$5=$X$5,W41,IF($W$5=$Y$5,W41*GenAssumptions!$B$11,IF($W$5=$Z$5,W41/GenAssumptions!$B$10,"ошибка в заполнении блока Курсы валют"))),2)</f>
        <v>0</v>
      </c>
      <c r="Y41" s="221">
        <f>ROUND(X41/GenAssumptions!$B$11,2)</f>
        <v>0</v>
      </c>
      <c r="Z41" s="283">
        <f>IF(T41="Y",ROUND(SUMIFS(GenAssumptions!$D:$D,GenAssumptions!$C:$C,$S41)*U41,2),0)</f>
        <v>0</v>
      </c>
      <c r="AB41" s="121"/>
    </row>
    <row r="42" spans="2:28" s="59" customFormat="1" ht="25.5" outlineLevel="1" x14ac:dyDescent="0.3">
      <c r="E42" s="121" t="str">
        <f t="shared" si="2"/>
        <v>00</v>
      </c>
      <c r="F42" s="170">
        <f>IF(T42="Y",COUNTIF($T$8:T41,"Y")+1,0)</f>
        <v>0</v>
      </c>
      <c r="G42" s="281"/>
      <c r="H42" s="307" t="s">
        <v>107</v>
      </c>
      <c r="I42" s="312" t="s">
        <v>309</v>
      </c>
      <c r="J42" s="309" t="s">
        <v>104</v>
      </c>
      <c r="K42" s="310" t="s">
        <v>19</v>
      </c>
      <c r="L42" s="320">
        <f>L41*10%*3</f>
        <v>5.3999999999999992E-2</v>
      </c>
      <c r="M42" s="309">
        <v>15</v>
      </c>
      <c r="N42" s="171">
        <f t="shared" si="14"/>
        <v>0</v>
      </c>
      <c r="O42" s="172">
        <f>IF(J42="Y",ROUND(SUMIFS(GenAssumptions!$E:$E,GenAssumptions!$C:$C,$K42)*12/(251*8)/60*L42*M42,2),0)</f>
        <v>0</v>
      </c>
      <c r="P42" s="217">
        <f>ROUND(IF($O$5=$P$5,O42,IF($O$5=$Q$5,O42*GenAssumptions!$B$11,IF($O$5=$R$5,O42/GenAssumptions!$B$10,"ошибка в заполнении блока Курсы валют"))),2)</f>
        <v>0</v>
      </c>
      <c r="Q42" s="221">
        <f>ROUND(P42/GenAssumptions!$B$11,2)</f>
        <v>0</v>
      </c>
      <c r="R42" s="172">
        <f>IF(J42="Y",ROUND(SUMIFS(GenAssumptions!$D:$D,GenAssumptions!$C:$C,$K42)*12/(251*8)/60*L42*M42,2),0)</f>
        <v>0</v>
      </c>
      <c r="S42" s="335"/>
      <c r="T42" s="309"/>
      <c r="U42" s="338"/>
      <c r="V42" s="336"/>
      <c r="W42" s="172">
        <f>IF(T42="Y",ROUND(SUMIFS(GenAssumptions!$E:$E,GenAssumptions!$C:$C,$S42)*U42,2),0)</f>
        <v>0</v>
      </c>
      <c r="X42" s="217">
        <f>ROUND(IF($W$5=$X$5,W42,IF($W$5=$Y$5,W42*GenAssumptions!$B$11,IF($W$5=$Z$5,W42/GenAssumptions!$B$10,"ошибка в заполнении блока Курсы валют"))),2)</f>
        <v>0</v>
      </c>
      <c r="Y42" s="221">
        <f>ROUND(X42/GenAssumptions!$B$11,2)</f>
        <v>0</v>
      </c>
      <c r="Z42" s="283">
        <f>IF(T42="Y",ROUND(SUMIFS(GenAssumptions!$D:$D,GenAssumptions!$C:$C,$S42)*U42,2),0)</f>
        <v>0</v>
      </c>
      <c r="AB42" s="121"/>
    </row>
    <row r="43" spans="2:28" s="59" customFormat="1" outlineLevel="1" x14ac:dyDescent="0.3">
      <c r="E43" s="121" t="str">
        <f t="shared" si="2"/>
        <v>00</v>
      </c>
      <c r="F43" s="170">
        <f>IF(T43="Y",COUNTIF($T$8:T42,"Y")+1,0)</f>
        <v>0</v>
      </c>
      <c r="G43" s="281"/>
      <c r="H43" s="307" t="s">
        <v>210</v>
      </c>
      <c r="I43" s="312" t="s">
        <v>142</v>
      </c>
      <c r="J43" s="309" t="s">
        <v>103</v>
      </c>
      <c r="K43" s="310" t="s">
        <v>19</v>
      </c>
      <c r="L43" s="313">
        <v>0.5</v>
      </c>
      <c r="M43" s="309">
        <v>20</v>
      </c>
      <c r="N43" s="171">
        <f t="shared" si="14"/>
        <v>10</v>
      </c>
      <c r="O43" s="172">
        <f>IF(J43="Y",ROUND(SUMIFS(GenAssumptions!$E:$E,GenAssumptions!$C:$C,$K43)*12/(251*8)/60*L43*M43,2),0)</f>
        <v>0.54</v>
      </c>
      <c r="P43" s="217">
        <f>ROUND(IF($O$5=$P$5,O43,IF($O$5=$Q$5,O43*GenAssumptions!$B$11,IF($O$5=$R$5,O43/GenAssumptions!$B$10,"ошибка в заполнении блока Курсы валют"))),2)</f>
        <v>0.54</v>
      </c>
      <c r="Q43" s="221">
        <f>ROUND(P43/GenAssumptions!$B$11,2)</f>
        <v>0.4</v>
      </c>
      <c r="R43" s="172">
        <f>IF(J43="Y",ROUND(SUMIFS(GenAssumptions!$D:$D,GenAssumptions!$C:$C,$K43)*12/(251*8)/60*L43*M43,2),0)</f>
        <v>37.92</v>
      </c>
      <c r="S43" s="335"/>
      <c r="T43" s="311"/>
      <c r="U43" s="338"/>
      <c r="V43" s="336"/>
      <c r="W43" s="172"/>
      <c r="X43" s="217">
        <f>ROUND(IF($W$5=$X$5,W43,IF($W$5=$Y$5,W43*GenAssumptions!$B$11,IF($W$5=$Z$5,W43/GenAssumptions!$B$10,"ошибка в заполнении блока Курсы валют"))),2)</f>
        <v>0</v>
      </c>
      <c r="Y43" s="221">
        <f>ROUND(X43/GenAssumptions!$B$11,2)</f>
        <v>0</v>
      </c>
      <c r="Z43" s="283">
        <f>IF(T43="Y",ROUND(SUMIFS(GenAssumptions!$D:$D,GenAssumptions!$C:$C,$S43)*U43,2),0)</f>
        <v>0</v>
      </c>
      <c r="AB43" s="121"/>
    </row>
    <row r="44" spans="2:28" s="59" customFormat="1" ht="38.25" outlineLevel="1" x14ac:dyDescent="0.3">
      <c r="E44" s="121" t="str">
        <f t="shared" si="2"/>
        <v>00</v>
      </c>
      <c r="F44" s="170">
        <f>IF(T44="Y",COUNTIF($T$8:T43,"Y")+1,0)</f>
        <v>0</v>
      </c>
      <c r="G44" s="281"/>
      <c r="H44" s="307" t="s">
        <v>211</v>
      </c>
      <c r="I44" s="312" t="s">
        <v>142</v>
      </c>
      <c r="J44" s="309" t="s">
        <v>104</v>
      </c>
      <c r="K44" s="310" t="s">
        <v>19</v>
      </c>
      <c r="L44" s="313">
        <v>0.15</v>
      </c>
      <c r="M44" s="309">
        <v>10</v>
      </c>
      <c r="N44" s="171">
        <f>IF(J44="Y",ROUND(L44*M44,2),0)</f>
        <v>0</v>
      </c>
      <c r="O44" s="172">
        <f>IF(J44="Y",ROUND(SUMIFS(GenAssumptions!$E:$E,GenAssumptions!$C:$C,$K44)*12/(251*8)/60*L44*M44,2),0)</f>
        <v>0</v>
      </c>
      <c r="P44" s="217">
        <f>ROUND(IF($O$5=$P$5,O44,IF($O$5=$Q$5,O44*GenAssumptions!$B$11,IF($O$5=$R$5,O44/GenAssumptions!$B$10,"ошибка в заполнении блока Курсы валют"))),2)</f>
        <v>0</v>
      </c>
      <c r="Q44" s="221">
        <f>ROUND(P44/GenAssumptions!$B$11,2)</f>
        <v>0</v>
      </c>
      <c r="R44" s="172">
        <f>IF(J44="Y",ROUND(SUMIFS(GenAssumptions!$D:$D,GenAssumptions!$C:$C,$K44)*12/(251*8)/60*L44*M44,2),0)</f>
        <v>0</v>
      </c>
      <c r="S44" s="335"/>
      <c r="T44" s="309"/>
      <c r="U44" s="338"/>
      <c r="V44" s="336"/>
      <c r="W44" s="172">
        <f>IF(T44="Y",ROUND(SUMIFS(GenAssumptions!$E:$E,GenAssumptions!$C:$C,$S44)*U44,2),0)</f>
        <v>0</v>
      </c>
      <c r="X44" s="217">
        <f>ROUND(IF($W$5=$X$5,W44,IF($W$5=$Y$5,W44*GenAssumptions!$B$11,IF($W$5=$Z$5,W44/GenAssumptions!$B$10,"ошибка в заполнении блока Курсы валют"))),2)</f>
        <v>0</v>
      </c>
      <c r="Y44" s="221">
        <f>ROUND(X44/GenAssumptions!$B$11,2)</f>
        <v>0</v>
      </c>
      <c r="Z44" s="283"/>
      <c r="AB44" s="121"/>
    </row>
    <row r="45" spans="2:28" s="174" customFormat="1" ht="25.5" outlineLevel="1" x14ac:dyDescent="0.3">
      <c r="E45" s="121" t="str">
        <f t="shared" si="2"/>
        <v>00</v>
      </c>
      <c r="F45" s="170">
        <f>IF(T45="Y",COUNTIF($T$8:T44,"Y")+1,0)</f>
        <v>0</v>
      </c>
      <c r="G45" s="286"/>
      <c r="H45" s="307" t="s">
        <v>212</v>
      </c>
      <c r="I45" s="314" t="s">
        <v>301</v>
      </c>
      <c r="J45" s="309" t="s">
        <v>104</v>
      </c>
      <c r="K45" s="315" t="s">
        <v>23</v>
      </c>
      <c r="L45" s="321">
        <f>GenAssumptions!$E$15*12</f>
        <v>0</v>
      </c>
      <c r="M45" s="316">
        <v>15</v>
      </c>
      <c r="N45" s="287">
        <f t="shared" si="14"/>
        <v>0</v>
      </c>
      <c r="O45" s="288">
        <f>IF(J45="Y",ROUND(SUMIFS(GenAssumptions!$E:$E,GenAssumptions!$C:$C,$K45)*12/(251*8)/60*L45*M45,2),0)</f>
        <v>0</v>
      </c>
      <c r="P45" s="218">
        <f>ROUND(IF($O$5=$P$5,O45,IF($O$5=$Q$5,O45*GenAssumptions!$B$11,IF($O$5=$R$5,O45/GenAssumptions!$B$10,"ошибка в заполнении блока Курсы валют"))),2)</f>
        <v>0</v>
      </c>
      <c r="Q45" s="222">
        <f>ROUND(P45/GenAssumptions!$B$11,2)</f>
        <v>0</v>
      </c>
      <c r="R45" s="172">
        <f>IF(J45="Y",ROUND(SUMIFS(GenAssumptions!$D:$D,GenAssumptions!$C:$C,$K45)*12/(251*8)/60*L45*M45,2),0)</f>
        <v>0</v>
      </c>
      <c r="S45" s="339"/>
      <c r="T45" s="309"/>
      <c r="U45" s="340"/>
      <c r="V45" s="341"/>
      <c r="W45" s="288">
        <f>IF(T45="Y",ROUND(SUMIFS(GenAssumptions!$E:$E,GenAssumptions!$C:$C,$S45)*U45,2),0)</f>
        <v>0</v>
      </c>
      <c r="X45" s="218">
        <f>ROUND(IF($W$5=$X$5,W45,IF($W$5=$Y$5,W45*GenAssumptions!$B$11,IF($W$5=$Z$5,W45/GenAssumptions!$B$10,"ошибка в заполнении блока Курсы валют"))),2)</f>
        <v>0</v>
      </c>
      <c r="Y45" s="222">
        <f>ROUND(X45/GenAssumptions!$B$11,2)</f>
        <v>0</v>
      </c>
      <c r="Z45" s="283">
        <f>IF(T45="Y",ROUND(SUMIFS(GenAssumptions!$D:$D,GenAssumptions!$C:$C,$S45)*U45,2),0)</f>
        <v>0</v>
      </c>
      <c r="AB45" s="121"/>
    </row>
    <row r="46" spans="2:28" s="174" customFormat="1" ht="25.5" outlineLevel="1" x14ac:dyDescent="0.3">
      <c r="E46" s="121" t="str">
        <f t="shared" si="2"/>
        <v>00</v>
      </c>
      <c r="F46" s="170">
        <f>IF(T46="Y",COUNTIF($T$8:T45,"Y")+1,0)</f>
        <v>0</v>
      </c>
      <c r="G46" s="286"/>
      <c r="H46" s="307" t="s">
        <v>218</v>
      </c>
      <c r="I46" s="314" t="s">
        <v>302</v>
      </c>
      <c r="J46" s="309" t="s">
        <v>104</v>
      </c>
      <c r="K46" s="315" t="s">
        <v>25</v>
      </c>
      <c r="L46" s="322">
        <f>GenAssumptions!$E$15*2</f>
        <v>0</v>
      </c>
      <c r="M46" s="316">
        <v>60</v>
      </c>
      <c r="N46" s="287">
        <f t="shared" si="14"/>
        <v>0</v>
      </c>
      <c r="O46" s="288">
        <f>IF(J46="Y",ROUND(SUMIFS(GenAssumptions!$E:$E,GenAssumptions!$C:$C,$K46)*12/(251*8)/60*L46*M46,2),0)</f>
        <v>0</v>
      </c>
      <c r="P46" s="218">
        <f>ROUND(IF($O$5=$P$5,O46,IF($O$5=$Q$5,O46*GenAssumptions!$B$11,IF($O$5=$R$5,O46/GenAssumptions!$B$10,"ошибка в заполнении блока Курсы валют"))),2)</f>
        <v>0</v>
      </c>
      <c r="Q46" s="222">
        <f>ROUND(P46/GenAssumptions!$B$11,2)</f>
        <v>0</v>
      </c>
      <c r="R46" s="172">
        <f>IF(J46="Y",ROUND(SUMIFS(GenAssumptions!$D:$D,GenAssumptions!$C:$C,$K46)*12/(251*8)/60*L46*M46,2),0)</f>
        <v>0</v>
      </c>
      <c r="S46" s="339"/>
      <c r="T46" s="342"/>
      <c r="U46" s="340"/>
      <c r="V46" s="341"/>
      <c r="W46" s="288"/>
      <c r="X46" s="218">
        <f>ROUND(IF($W$5=$X$5,W46,IF($W$5=$Y$5,W46*GenAssumptions!$B$11,IF($W$5=$Z$5,W46/GenAssumptions!$B$10,"ошибка в заполнении блока Курсы валют"))),2)</f>
        <v>0</v>
      </c>
      <c r="Y46" s="222">
        <f>ROUND(X46/GenAssumptions!$B$11,2)</f>
        <v>0</v>
      </c>
      <c r="Z46" s="283">
        <f>IF(T46="Y",ROUND(SUMIFS(GenAssumptions!$D:$D,GenAssumptions!$C:$C,$S46)*U46,2),0)</f>
        <v>0</v>
      </c>
      <c r="AB46" s="121"/>
    </row>
    <row r="47" spans="2:28" outlineLevel="1" x14ac:dyDescent="0.3">
      <c r="B47" s="121" t="str">
        <f>IF(O47&lt;&gt;0,"S2",0)&amp;C47</f>
        <v>S23</v>
      </c>
      <c r="C47" s="170">
        <f>IF(O47&lt;&gt;0,COUNTIF(D31:D46,"Y")+1,0)</f>
        <v>3</v>
      </c>
      <c r="D47" s="170" t="str">
        <f>IF(C47&lt;&gt;0,"Y",)</f>
        <v>Y</v>
      </c>
      <c r="E47" s="170" t="str">
        <f t="shared" si="2"/>
        <v>00</v>
      </c>
      <c r="F47" s="170">
        <f>IF(T47="Y",COUNTIF($T$8:T46,"Y")+1,0)</f>
        <v>0</v>
      </c>
      <c r="G47" s="278" t="s">
        <v>121</v>
      </c>
      <c r="H47" s="303" t="s">
        <v>13</v>
      </c>
      <c r="I47" s="304"/>
      <c r="J47" s="305"/>
      <c r="K47" s="306"/>
      <c r="L47" s="306"/>
      <c r="M47" s="306"/>
      <c r="N47" s="279"/>
      <c r="O47" s="279">
        <f>SUM(O48:O49)</f>
        <v>1.62</v>
      </c>
      <c r="P47" s="216">
        <f>SUM(P48:P49)</f>
        <v>1.62</v>
      </c>
      <c r="Q47" s="220">
        <f>SUM(Q48:Q49)</f>
        <v>1.2</v>
      </c>
      <c r="R47" s="279">
        <f>SUM(R48:R49)</f>
        <v>113.76</v>
      </c>
      <c r="S47" s="332"/>
      <c r="T47" s="333"/>
      <c r="U47" s="333"/>
      <c r="V47" s="334"/>
      <c r="W47" s="279">
        <f>SUM(W48:W49)</f>
        <v>0</v>
      </c>
      <c r="X47" s="216">
        <f>SUM(X48:X49)</f>
        <v>0</v>
      </c>
      <c r="Y47" s="220">
        <f>SUM(Y48:Y49)</f>
        <v>0</v>
      </c>
      <c r="Z47" s="280">
        <f>SUM(Z48:Z49)</f>
        <v>0</v>
      </c>
    </row>
    <row r="48" spans="2:28" s="59" customFormat="1" outlineLevel="1" x14ac:dyDescent="0.3">
      <c r="E48" s="121" t="str">
        <f t="shared" si="2"/>
        <v>00</v>
      </c>
      <c r="F48" s="170">
        <f>IF(T48="Y",COUNTIF($T$8:T47,"Y")+1,0)</f>
        <v>0</v>
      </c>
      <c r="G48" s="281"/>
      <c r="H48" s="307" t="s">
        <v>253</v>
      </c>
      <c r="I48" s="312"/>
      <c r="J48" s="309" t="s">
        <v>103</v>
      </c>
      <c r="K48" s="310" t="s">
        <v>19</v>
      </c>
      <c r="L48" s="309">
        <v>1</v>
      </c>
      <c r="M48" s="309">
        <v>15</v>
      </c>
      <c r="N48" s="171">
        <f>IF(J48="Y",ROUND(L48*M48,2),0)</f>
        <v>15</v>
      </c>
      <c r="O48" s="172">
        <f>IF(J48="Y",ROUND(SUMIFS(GenAssumptions!$E:$E,GenAssumptions!$C:$C,$K48)*12/(251*8)/60*L48*M48,2),0)</f>
        <v>0.81</v>
      </c>
      <c r="P48" s="217">
        <f>ROUND(IF($O$5=$P$5,O48,IF($O$5=$Q$5,O48*GenAssumptions!$B$11,IF($O$5=$R$5,O48/GenAssumptions!$B$10,"ошибка в заполнении блока Курсы валют"))),2)</f>
        <v>0.81</v>
      </c>
      <c r="Q48" s="221">
        <f>ROUND(P48/GenAssumptions!$B$11,2)</f>
        <v>0.6</v>
      </c>
      <c r="R48" s="172">
        <f>IF(J48="Y",ROUND(SUMIFS(GenAssumptions!$D:$D,GenAssumptions!$C:$C,$K48)*12/(251*8)/60*L48*M48,2),0)</f>
        <v>56.88</v>
      </c>
      <c r="S48" s="343"/>
      <c r="T48" s="309"/>
      <c r="U48" s="309"/>
      <c r="V48" s="323"/>
      <c r="W48" s="172"/>
      <c r="X48" s="217"/>
      <c r="Y48" s="221"/>
      <c r="Z48" s="283"/>
      <c r="AB48" s="121"/>
    </row>
    <row r="49" spans="2:28" s="59" customFormat="1" outlineLevel="1" x14ac:dyDescent="0.3">
      <c r="E49" s="121" t="str">
        <f t="shared" si="2"/>
        <v>00</v>
      </c>
      <c r="F49" s="170">
        <f>IF(T49="Y",COUNTIF($T$8:T48,"Y")+1,0)</f>
        <v>0</v>
      </c>
      <c r="G49" s="281"/>
      <c r="H49" s="307" t="s">
        <v>254</v>
      </c>
      <c r="I49" s="312"/>
      <c r="J49" s="309" t="s">
        <v>103</v>
      </c>
      <c r="K49" s="310" t="s">
        <v>22</v>
      </c>
      <c r="L49" s="309">
        <v>1</v>
      </c>
      <c r="M49" s="309">
        <v>15</v>
      </c>
      <c r="N49" s="171">
        <f>IF(J49="Y",ROUND(L49*M49,2),0)</f>
        <v>15</v>
      </c>
      <c r="O49" s="172">
        <f>IF(J49="Y",ROUND(SUMIFS(GenAssumptions!$E:$E,GenAssumptions!$C:$C,$K49)*12/(251*8)/60*L49*M49,2),0)</f>
        <v>0.81</v>
      </c>
      <c r="P49" s="217">
        <f>ROUND(IF($O$5=$P$5,O49,IF($O$5=$Q$5,O49*GenAssumptions!$B$11,IF($O$5=$R$5,O49/GenAssumptions!$B$10,"ошибка в заполнении блока Курсы валют"))),2)</f>
        <v>0.81</v>
      </c>
      <c r="Q49" s="221">
        <f>ROUND(P49/GenAssumptions!$B$11,2)</f>
        <v>0.6</v>
      </c>
      <c r="R49" s="172">
        <f>IF(J49="Y",ROUND(SUMIFS(GenAssumptions!$D:$D,GenAssumptions!$C:$C,$K49)*12/(251*8)/60*L49*M49,2),0)</f>
        <v>56.88</v>
      </c>
      <c r="S49" s="335"/>
      <c r="T49" s="309"/>
      <c r="U49" s="309"/>
      <c r="V49" s="323"/>
      <c r="W49" s="172"/>
      <c r="X49" s="217"/>
      <c r="Y49" s="221"/>
      <c r="Z49" s="283"/>
      <c r="AB49" s="121"/>
    </row>
    <row r="50" spans="2:28" outlineLevel="1" x14ac:dyDescent="0.3">
      <c r="B50" s="121" t="str">
        <f>IF(O50&lt;&gt;0,"S2",0)&amp;C50</f>
        <v>00</v>
      </c>
      <c r="C50" s="170">
        <f>IF(O50&lt;&gt;0,COUNTIF(D31:D49,"Y")+1,0)</f>
        <v>0</v>
      </c>
      <c r="D50" s="170">
        <f>IF(C50&lt;&gt;0,"Y",)</f>
        <v>0</v>
      </c>
      <c r="E50" s="170" t="str">
        <f t="shared" si="2"/>
        <v>0</v>
      </c>
      <c r="F50" s="170"/>
      <c r="G50" s="278" t="s">
        <v>122</v>
      </c>
      <c r="H50" s="303" t="s">
        <v>14</v>
      </c>
      <c r="I50" s="304"/>
      <c r="J50" s="305"/>
      <c r="K50" s="306"/>
      <c r="L50" s="306"/>
      <c r="M50" s="306"/>
      <c r="N50" s="279"/>
      <c r="O50" s="279">
        <f>SUM(O51)</f>
        <v>0</v>
      </c>
      <c r="P50" s="216">
        <f>SUM(P51:P52)</f>
        <v>0</v>
      </c>
      <c r="Q50" s="220">
        <f t="shared" ref="Q50:R50" si="15">SUM(Q51:Q52)</f>
        <v>0</v>
      </c>
      <c r="R50" s="279">
        <f t="shared" si="15"/>
        <v>0</v>
      </c>
      <c r="S50" s="332"/>
      <c r="T50" s="333"/>
      <c r="U50" s="333"/>
      <c r="V50" s="334"/>
      <c r="W50" s="279">
        <f>SUM(W51:W52)</f>
        <v>0</v>
      </c>
      <c r="X50" s="216">
        <f t="shared" ref="X50:Z50" si="16">SUM(X51:X52)</f>
        <v>0</v>
      </c>
      <c r="Y50" s="220">
        <f t="shared" si="16"/>
        <v>0</v>
      </c>
      <c r="Z50" s="280">
        <f t="shared" si="16"/>
        <v>0</v>
      </c>
    </row>
    <row r="51" spans="2:28" s="59" customFormat="1" outlineLevel="1" x14ac:dyDescent="0.3">
      <c r="E51" s="121" t="str">
        <f t="shared" si="2"/>
        <v>00</v>
      </c>
      <c r="F51" s="170">
        <f>IF(T51="Y",COUNTIF($T$8:T50,"Y")+1,0)</f>
        <v>0</v>
      </c>
      <c r="G51" s="281"/>
      <c r="H51" s="307" t="s">
        <v>85</v>
      </c>
      <c r="I51" s="312"/>
      <c r="J51" s="309" t="s">
        <v>104</v>
      </c>
      <c r="K51" s="310" t="s">
        <v>19</v>
      </c>
      <c r="L51" s="309">
        <v>1</v>
      </c>
      <c r="M51" s="309">
        <v>5</v>
      </c>
      <c r="N51" s="171">
        <f>IF(J51="Y",ROUND(L51*M51,2),0)</f>
        <v>0</v>
      </c>
      <c r="O51" s="172">
        <f>IF(J51="Y",ROUND(SUMIFS(GenAssumptions!$E:$E,GenAssumptions!$C:$C,$K51)*12/(251*8)/60*L51*M51,2),0)</f>
        <v>0</v>
      </c>
      <c r="P51" s="217">
        <f>ROUND(IF($O$5=$P$5,O51,IF($O$5=$Q$5,O51*GenAssumptions!$B$11,IF($O$5=$R$5,O51/GenAssumptions!$B$10,"ошибка в заполнении блока Курсы валют"))),2)</f>
        <v>0</v>
      </c>
      <c r="Q51" s="221">
        <f>ROUND(P51/GenAssumptions!$B$11,2)</f>
        <v>0</v>
      </c>
      <c r="R51" s="172">
        <f>IF(J51="Y",ROUND(SUMIFS(GenAssumptions!$D:$D,GenAssumptions!$C:$C,$K51)*12/(251*8)/60*L51*M51,2),0)</f>
        <v>0</v>
      </c>
      <c r="S51" s="335"/>
      <c r="T51" s="309"/>
      <c r="U51" s="309"/>
      <c r="V51" s="323"/>
      <c r="W51" s="172"/>
      <c r="X51" s="217"/>
      <c r="Y51" s="221"/>
      <c r="Z51" s="283"/>
      <c r="AB51" s="121"/>
    </row>
    <row r="52" spans="2:28" s="59" customFormat="1" outlineLevel="1" x14ac:dyDescent="0.3">
      <c r="E52" s="121" t="str">
        <f>IF(T52="Y","T",0)&amp;F52</f>
        <v>00</v>
      </c>
      <c r="F52" s="170">
        <f>IF(T52="Y",COUNTIF($T$8:T51,"Y")+1,0)</f>
        <v>0</v>
      </c>
      <c r="G52" s="281"/>
      <c r="H52" s="307"/>
      <c r="I52" s="312"/>
      <c r="J52" s="311"/>
      <c r="K52" s="310"/>
      <c r="L52" s="311"/>
      <c r="M52" s="311"/>
      <c r="N52" s="171">
        <f>IF(J52="Y",ROUND(L52*M52,2),0)</f>
        <v>0</v>
      </c>
      <c r="O52" s="172">
        <f>IF(J52="Y",ROUND(SUMIFS(GenAssumptions!$E:$E,GenAssumptions!$C:$C,$K52)*12/(251*8)/60*L52*M52,2),0)</f>
        <v>0</v>
      </c>
      <c r="P52" s="217">
        <f>ROUND(IF($O$5=$P$5,O52,IF($O$5=$Q$5,O52*GenAssumptions!$B$11,IF($O$5=$R$5,O52/GenAssumptions!$B$10,"ошибка в заполнении блока Курсы валют"))),2)</f>
        <v>0</v>
      </c>
      <c r="Q52" s="221">
        <f>ROUND(P52/GenAssumptions!$B$11,2)</f>
        <v>0</v>
      </c>
      <c r="R52" s="172">
        <f>IF(J52="Y",ROUND(SUMIFS(GenAssumptions!$D:$D,GenAssumptions!$C:$C,$K52)*12/(251*8)/60*L52*M52,2),0)</f>
        <v>0</v>
      </c>
      <c r="S52" s="335"/>
      <c r="T52" s="309"/>
      <c r="U52" s="313"/>
      <c r="V52" s="323"/>
      <c r="W52" s="172"/>
      <c r="X52" s="217"/>
      <c r="Y52" s="221"/>
      <c r="Z52" s="283"/>
      <c r="AB52" s="121"/>
    </row>
    <row r="53" spans="2:28" outlineLevel="1" x14ac:dyDescent="0.3">
      <c r="B53" s="121" t="str">
        <f>IF(O53&lt;&gt;0,"S2",0)&amp;C53</f>
        <v>S24</v>
      </c>
      <c r="C53" s="170">
        <f>IF(O53&lt;&gt;0,COUNTIF(D31:D51,"Y")+1,0)</f>
        <v>4</v>
      </c>
      <c r="D53" s="170" t="str">
        <f t="shared" ref="D53" si="17">IF(C53&lt;&gt;0,"Y",)</f>
        <v>Y</v>
      </c>
      <c r="E53" s="170" t="str">
        <f t="shared" si="2"/>
        <v>0</v>
      </c>
      <c r="F53" s="170"/>
      <c r="G53" s="278" t="s">
        <v>123</v>
      </c>
      <c r="H53" s="303" t="s">
        <v>15</v>
      </c>
      <c r="I53" s="304"/>
      <c r="J53" s="305"/>
      <c r="K53" s="306"/>
      <c r="L53" s="306"/>
      <c r="M53" s="306"/>
      <c r="N53" s="279"/>
      <c r="O53" s="279">
        <f>O54</f>
        <v>0.53</v>
      </c>
      <c r="P53" s="216">
        <f>P54</f>
        <v>0.53</v>
      </c>
      <c r="Q53" s="220">
        <f>Q54</f>
        <v>0.4</v>
      </c>
      <c r="R53" s="279">
        <f>R54</f>
        <v>37.35</v>
      </c>
      <c r="S53" s="332"/>
      <c r="T53" s="333"/>
      <c r="U53" s="333"/>
      <c r="V53" s="334"/>
      <c r="W53" s="279">
        <f>W54</f>
        <v>0</v>
      </c>
      <c r="X53" s="216">
        <f>X54</f>
        <v>0</v>
      </c>
      <c r="Y53" s="220">
        <f>Y54</f>
        <v>0</v>
      </c>
      <c r="Z53" s="280">
        <f>Z54</f>
        <v>0</v>
      </c>
    </row>
    <row r="54" spans="2:28" s="59" customFormat="1" outlineLevel="1" x14ac:dyDescent="0.3">
      <c r="B54" s="121"/>
      <c r="C54" s="170"/>
      <c r="D54" s="170"/>
      <c r="E54" s="121" t="str">
        <f t="shared" si="2"/>
        <v>00</v>
      </c>
      <c r="F54" s="170">
        <f>IF(T54="Y",COUNTIF($T$8:T53,"Y")+1,0)</f>
        <v>0</v>
      </c>
      <c r="G54" s="281"/>
      <c r="H54" s="307" t="s">
        <v>85</v>
      </c>
      <c r="I54" s="312"/>
      <c r="J54" s="309" t="s">
        <v>103</v>
      </c>
      <c r="K54" s="310" t="s">
        <v>26</v>
      </c>
      <c r="L54" s="313">
        <v>0.5</v>
      </c>
      <c r="M54" s="309">
        <v>30</v>
      </c>
      <c r="N54" s="171">
        <f>IF(J54="Y",ROUND(L54*M54,2),0)</f>
        <v>15</v>
      </c>
      <c r="O54" s="172">
        <f>IF(J54="Y",ROUND(SUMIFS(GenAssumptions!$E:$E,GenAssumptions!$C:$C,$K54)*12/(251*8)/60*L54*M54,2),0)</f>
        <v>0.53</v>
      </c>
      <c r="P54" s="217">
        <f>ROUND(IF($O$5=$P$5,O54,IF($O$5=$Q$5,O54*GenAssumptions!$B$11,IF($O$5=$R$5,O54/GenAssumptions!$B$10,"ошибка в заполнении блока Курсы валют"))),2)</f>
        <v>0.53</v>
      </c>
      <c r="Q54" s="221">
        <f>ROUND(P54/GenAssumptions!$B$11,2)</f>
        <v>0.4</v>
      </c>
      <c r="R54" s="172">
        <f>IF(J54="Y",ROUND(SUMIFS(GenAssumptions!$D:$D,GenAssumptions!$C:$C,$K54)*12/(251*8)/60*L54*M54,2),0)</f>
        <v>37.35</v>
      </c>
      <c r="S54" s="335"/>
      <c r="T54" s="311"/>
      <c r="U54" s="311"/>
      <c r="V54" s="323"/>
      <c r="W54" s="172">
        <f>IF(T54="Y",ROUND(SUMIFS(GenAssumptions!$E:$E,GenAssumptions!$C:$C,$S54)*U54,2),0)</f>
        <v>0</v>
      </c>
      <c r="X54" s="217">
        <f>ROUND(IF($W$5=$X$5,W54,IF($W$5=$Y$5,W54*GenAssumptions!$B$11,IF($W$5=$Z$5,W54/GenAssumptions!$B$10,"ошибка в заполнении блока Курсы валют"))),2)</f>
        <v>0</v>
      </c>
      <c r="Y54" s="221">
        <f>ROUND(X54/GenAssumptions!$B$11,2)</f>
        <v>0</v>
      </c>
      <c r="Z54" s="283">
        <f>IF(T54="Y",ROUND(SUMIFS(GenAssumptions!$D:$D,GenAssumptions!$C:$C,$S54)*U54,2),0)</f>
        <v>0</v>
      </c>
      <c r="AB54" s="121"/>
    </row>
    <row r="55" spans="2:28" s="169" customFormat="1" ht="17.25" thickBot="1" x14ac:dyDescent="0.35">
      <c r="E55" s="121" t="str">
        <f>IF(T55="Y","T",0)&amp;F55</f>
        <v>00</v>
      </c>
      <c r="F55" s="170">
        <f>IF(T55="Y",COUNTIF($T$8:T54,"Y")+1,0)</f>
        <v>0</v>
      </c>
      <c r="G55" s="289" t="s">
        <v>219</v>
      </c>
      <c r="H55" s="324" t="s">
        <v>200</v>
      </c>
      <c r="I55" s="325"/>
      <c r="J55" s="326"/>
      <c r="K55" s="327"/>
      <c r="L55" s="328">
        <f>GenAssumptions!$E$17</f>
        <v>0.05</v>
      </c>
      <c r="M55" s="329"/>
      <c r="N55" s="290"/>
      <c r="O55" s="290"/>
      <c r="P55" s="291"/>
      <c r="Q55" s="292"/>
      <c r="R55" s="290"/>
      <c r="S55" s="344"/>
      <c r="T55" s="329"/>
      <c r="U55" s="329"/>
      <c r="V55" s="345"/>
      <c r="W55" s="290">
        <f>W30*$L$55</f>
        <v>2.1430000000000002</v>
      </c>
      <c r="X55" s="291">
        <f>(X30+X6)*$L$55</f>
        <v>2.68</v>
      </c>
      <c r="Y55" s="292">
        <f>(Y30+Y6)*$L$55</f>
        <v>2.0005000000000002</v>
      </c>
      <c r="Z55" s="293">
        <f>(Z30+Z6)*$L$55</f>
        <v>340.83300000000003</v>
      </c>
      <c r="AA55" s="296"/>
      <c r="AB55" s="121"/>
    </row>
  </sheetData>
  <sheetProtection algorithmName="SHA-512" hashValue="qZbl2WW8mZCH+yDux06L0XHThozjGYpUZSLh1UwAjC1HL7is/G4UgbFEQoXd7AoTCw1LuYQvqgBXa7KQp0+Eew==" saltValue="LnqCxXWXvlFwD7woKLYqwA==" spinCount="100000" sheet="1" formatCells="0" formatColumns="0" formatRows="0" insertColumns="0" insertRows="0" deleteColumns="0" deleteRows="0" autoFilter="0" pivotTables="0"/>
  <autoFilter ref="B4:Z55" xr:uid="{00000000-0009-0000-0000-000003000000}"/>
  <dataValidations xWindow="435" yWindow="692" count="3">
    <dataValidation type="list" showInputMessage="1" showErrorMessage="1" promptTitle="Выберете из списка" prompt="Y - услуга предоставляется;_x000a_N - не предоставляется" sqref="J31:J54 J8:J29 T8:T29 T31:T54" xr:uid="{00000000-0002-0000-0300-000000000000}">
      <formula1>YN</formula1>
    </dataValidation>
    <dataValidation type="list" showInputMessage="1" showErrorMessage="1" error="Добавть товар в список можна на странице &quot;GenAssumptions&quot;" promptTitle="Выберете товар из списка" sqref="S8:S29 S31:S54" xr:uid="{00000000-0002-0000-0300-000001000000}">
      <formula1>Commodities</formula1>
    </dataValidation>
    <dataValidation type="list" allowBlank="1" showInputMessage="1" showErrorMessage="1" sqref="K8:K54" xr:uid="{00000000-0002-0000-0300-000002000000}">
      <formula1>Staff1</formula1>
    </dataValidation>
  </dataValidations>
  <pageMargins left="0.70866141732283472" right="0.70866141732283472" top="0.74803149606299213" bottom="0.74803149606299213" header="0.31496062992125984" footer="0.31496062992125984"/>
  <pageSetup paperSize="8" scale="61" fitToHeight="0" orientation="landscape" r:id="rId1"/>
  <rowBreaks count="1" manualBreakCount="1">
    <brk id="46" max="25"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B1:W41"/>
  <sheetViews>
    <sheetView tabSelected="1" topLeftCell="B1" zoomScale="85" zoomScaleNormal="85" zoomScalePageLayoutView="70" workbookViewId="0">
      <pane xSplit="6" ySplit="5" topLeftCell="H6" activePane="bottomRight" state="frozen"/>
      <selection activeCell="G1" sqref="G1"/>
      <selection pane="topRight" activeCell="H1" sqref="H1"/>
      <selection pane="bottomLeft" activeCell="G6" sqref="G6"/>
      <selection pane="bottomRight" activeCell="H9" sqref="H9"/>
    </sheetView>
  </sheetViews>
  <sheetFormatPr defaultColWidth="8.85546875" defaultRowHeight="16.5" outlineLevelCol="1" x14ac:dyDescent="0.25"/>
  <cols>
    <col min="1" max="1" width="8.85546875" style="59"/>
    <col min="2" max="2" width="5.7109375" style="59" hidden="1" customWidth="1" outlineLevel="1"/>
    <col min="3" max="4" width="4.140625" style="59" hidden="1" customWidth="1" outlineLevel="1"/>
    <col min="5" max="5" width="5.7109375" style="59" hidden="1" customWidth="1" outlineLevel="1"/>
    <col min="6" max="6" width="4.140625" style="59" hidden="1" customWidth="1" outlineLevel="1"/>
    <col min="7" max="7" width="7.42578125" style="58" customWidth="1" collapsed="1"/>
    <col min="8" max="8" width="42.85546875" style="58" customWidth="1"/>
    <col min="9" max="9" width="31.42578125" style="175" customWidth="1"/>
    <col min="10" max="10" width="16.42578125" style="59" customWidth="1"/>
    <col min="11" max="11" width="23" style="59" customWidth="1"/>
    <col min="12" max="12" width="14.28515625" style="59" customWidth="1"/>
    <col min="13" max="13" width="20.85546875" style="59" customWidth="1"/>
    <col min="14" max="14" width="16.42578125" style="59" customWidth="1"/>
    <col min="15" max="15" width="14" style="59" customWidth="1"/>
    <col min="16" max="16" width="14" style="59" hidden="1" customWidth="1" outlineLevel="1" collapsed="1"/>
    <col min="17" max="18" width="14" style="59" hidden="1" customWidth="1" outlineLevel="1"/>
    <col min="19" max="19" width="8.85546875" style="59" collapsed="1"/>
    <col min="20" max="22" width="0" style="59" hidden="1" customWidth="1" outlineLevel="1"/>
    <col min="23" max="23" width="8.85546875" style="59" collapsed="1"/>
    <col min="24" max="16384" width="8.85546875" style="59"/>
  </cols>
  <sheetData>
    <row r="1" spans="2:22" ht="7.5" customHeight="1" x14ac:dyDescent="0.25"/>
    <row r="2" spans="2:22" s="162" customFormat="1" ht="36.75" customHeight="1" x14ac:dyDescent="0.25">
      <c r="G2" s="207" t="s">
        <v>223</v>
      </c>
      <c r="H2" s="207"/>
      <c r="I2" s="207"/>
      <c r="J2" s="207"/>
      <c r="K2" s="207"/>
      <c r="L2" s="207"/>
      <c r="M2" s="207"/>
      <c r="N2" s="207"/>
      <c r="O2" s="207"/>
      <c r="P2" s="207"/>
      <c r="Q2" s="207"/>
      <c r="R2" s="207"/>
    </row>
    <row r="3" spans="2:22" s="398" customFormat="1" ht="31.5" customHeight="1" thickBot="1" x14ac:dyDescent="0.3">
      <c r="G3" s="399" t="s">
        <v>263</v>
      </c>
      <c r="H3" s="400"/>
      <c r="I3" s="401"/>
      <c r="J3" s="402"/>
      <c r="K3" s="402"/>
      <c r="L3" s="402"/>
      <c r="M3" s="402"/>
      <c r="N3" s="403"/>
      <c r="O3" s="403"/>
      <c r="P3" s="403"/>
      <c r="Q3" s="403"/>
      <c r="R3" s="403"/>
    </row>
    <row r="4" spans="2:22" ht="74.25" customHeight="1" x14ac:dyDescent="0.25">
      <c r="B4" s="59" t="s">
        <v>170</v>
      </c>
      <c r="G4" s="228" t="s">
        <v>214</v>
      </c>
      <c r="H4" s="229" t="s">
        <v>255</v>
      </c>
      <c r="I4" s="230" t="s">
        <v>86</v>
      </c>
      <c r="J4" s="231" t="s">
        <v>213</v>
      </c>
      <c r="K4" s="231" t="s">
        <v>235</v>
      </c>
      <c r="L4" s="231" t="s">
        <v>236</v>
      </c>
      <c r="M4" s="231" t="s">
        <v>237</v>
      </c>
      <c r="N4" s="231" t="s">
        <v>238</v>
      </c>
      <c r="O4" s="231" t="str">
        <f>"Стоимость, "</f>
        <v xml:space="preserve">Стоимость, </v>
      </c>
      <c r="P4" s="231" t="str">
        <f>"Стоимость, "</f>
        <v xml:space="preserve">Стоимость, </v>
      </c>
      <c r="Q4" s="231" t="str">
        <f>"Стоимость, "</f>
        <v xml:space="preserve">Стоимость, </v>
      </c>
      <c r="R4" s="232" t="str">
        <f>"Стоимость, "</f>
        <v xml:space="preserve">Стоимость, </v>
      </c>
    </row>
    <row r="5" spans="2:22" ht="24" customHeight="1" x14ac:dyDescent="0.25">
      <c r="G5" s="233"/>
      <c r="H5" s="234"/>
      <c r="I5" s="235"/>
      <c r="J5" s="234"/>
      <c r="K5" s="234"/>
      <c r="L5" s="234"/>
      <c r="M5" s="236"/>
      <c r="N5" s="236" t="str">
        <f>GenAssumptions!$B$8</f>
        <v>RUB</v>
      </c>
      <c r="O5" s="236" t="str">
        <f>GenAssumptions!$B$8</f>
        <v>RUB</v>
      </c>
      <c r="P5" s="212" t="s">
        <v>145</v>
      </c>
      <c r="Q5" s="212" t="s">
        <v>144</v>
      </c>
      <c r="R5" s="237" t="str">
        <f>GenAssumptions!$B$8</f>
        <v>RUB</v>
      </c>
    </row>
    <row r="6" spans="2:22" s="211" customFormat="1" ht="14.1" customHeight="1" x14ac:dyDescent="0.25">
      <c r="G6" s="238" t="s">
        <v>270</v>
      </c>
      <c r="H6" s="239" t="s">
        <v>117</v>
      </c>
      <c r="I6" s="240"/>
      <c r="J6" s="241"/>
      <c r="K6" s="242"/>
      <c r="L6" s="243"/>
      <c r="M6" s="243"/>
      <c r="N6" s="243"/>
      <c r="O6" s="244">
        <f>SUM(O8:O41)</f>
        <v>5213442</v>
      </c>
      <c r="P6" s="245">
        <f>SUM(P8:P41)</f>
        <v>74477.76999999999</v>
      </c>
      <c r="Q6" s="246">
        <f>SUM(Q8:Q41)</f>
        <v>55580.43</v>
      </c>
      <c r="R6" s="247">
        <f>SUM(R8:R41)</f>
        <v>5213443.8999999985</v>
      </c>
    </row>
    <row r="7" spans="2:22" ht="14.1" customHeight="1" x14ac:dyDescent="0.25">
      <c r="G7" s="248" t="s">
        <v>271</v>
      </c>
      <c r="H7" s="249" t="s">
        <v>224</v>
      </c>
      <c r="I7" s="250"/>
      <c r="J7" s="251"/>
      <c r="K7" s="252"/>
      <c r="L7" s="253"/>
      <c r="M7" s="254"/>
      <c r="N7" s="253"/>
      <c r="O7" s="255"/>
      <c r="P7" s="256"/>
      <c r="Q7" s="257"/>
      <c r="R7" s="258"/>
    </row>
    <row r="8" spans="2:22" ht="14.1" customHeight="1" x14ac:dyDescent="0.25">
      <c r="G8" s="259" t="s">
        <v>272</v>
      </c>
      <c r="H8" s="346" t="s">
        <v>296</v>
      </c>
      <c r="I8" s="347"/>
      <c r="J8" s="309" t="s">
        <v>103</v>
      </c>
      <c r="K8" s="310" t="s">
        <v>320</v>
      </c>
      <c r="L8" s="348">
        <v>12</v>
      </c>
      <c r="M8" s="349" t="s">
        <v>298</v>
      </c>
      <c r="N8" s="350">
        <v>87045</v>
      </c>
      <c r="O8" s="260">
        <f>IF(J8="Y",L8*N8,0)</f>
        <v>1044540</v>
      </c>
      <c r="P8" s="213">
        <f>ROUND(IF($O$5=$P$5,O8,IF($O$5=$Q$5,O8*GenAssumptions!$B$11,IF($O$5=$R$5,O8/GenAssumptions!$B$10,"ошибка в заполнении блока Курсы валют"))),2)</f>
        <v>14922</v>
      </c>
      <c r="Q8" s="214">
        <f>ROUND(P8/GenAssumptions!$B$11,2)</f>
        <v>11135.82</v>
      </c>
      <c r="R8" s="261">
        <f>ROUND(P8*GenAssumptions!$B$10,2)</f>
        <v>1044540</v>
      </c>
    </row>
    <row r="9" spans="2:22" ht="14.1" customHeight="1" x14ac:dyDescent="0.25">
      <c r="G9" s="259" t="s">
        <v>273</v>
      </c>
      <c r="H9" s="346" t="s">
        <v>296</v>
      </c>
      <c r="I9" s="347"/>
      <c r="J9" s="309" t="s">
        <v>103</v>
      </c>
      <c r="K9" s="310" t="s">
        <v>322</v>
      </c>
      <c r="L9" s="348">
        <v>12</v>
      </c>
      <c r="M9" s="349" t="s">
        <v>298</v>
      </c>
      <c r="N9" s="350">
        <f>43558</f>
        <v>43558</v>
      </c>
      <c r="O9" s="260">
        <f t="shared" ref="O9:O14" si="0">IF(J9="Y",L9*N9,0)</f>
        <v>522696</v>
      </c>
      <c r="P9" s="213">
        <f>ROUND(IF($O$5=$P$5,O9,IF($O$5=$Q$5,O9*GenAssumptions!$B$11,IF($O$5=$R$5,O9/GenAssumptions!$B$10,"ошибка в заполнении блока Курсы валют"))),2)</f>
        <v>7467.09</v>
      </c>
      <c r="Q9" s="214">
        <f>ROUND(P9/GenAssumptions!$B$11,2)</f>
        <v>5572.46</v>
      </c>
      <c r="R9" s="261">
        <f>ROUND(P9*GenAssumptions!$B$10,2)</f>
        <v>522696.3</v>
      </c>
    </row>
    <row r="10" spans="2:22" ht="14.1" customHeight="1" x14ac:dyDescent="0.25">
      <c r="G10" s="259" t="s">
        <v>274</v>
      </c>
      <c r="H10" s="346" t="s">
        <v>296</v>
      </c>
      <c r="I10" s="347"/>
      <c r="J10" s="309" t="s">
        <v>103</v>
      </c>
      <c r="K10" s="310" t="s">
        <v>323</v>
      </c>
      <c r="L10" s="348">
        <f>12*25%</f>
        <v>3</v>
      </c>
      <c r="M10" s="349" t="s">
        <v>298</v>
      </c>
      <c r="N10" s="350">
        <f>54394</f>
        <v>54394</v>
      </c>
      <c r="O10" s="260">
        <f>IF(J10="Y",L10*N10,0)</f>
        <v>163182</v>
      </c>
      <c r="P10" s="213">
        <f>ROUND(IF($O$5=$P$5,O10,IF($O$5=$Q$5,O10*GenAssumptions!$B$11,IF($O$5=$R$5,O10/GenAssumptions!$B$10,"ошибка в заполнении блока Курсы валют"))),2)</f>
        <v>2331.17</v>
      </c>
      <c r="Q10" s="214">
        <f>ROUND(P10/GenAssumptions!$B$11,2)</f>
        <v>1739.68</v>
      </c>
      <c r="R10" s="261">
        <f>ROUND(P10*GenAssumptions!$B$10,2)</f>
        <v>163181.9</v>
      </c>
    </row>
    <row r="11" spans="2:22" ht="14.1" customHeight="1" x14ac:dyDescent="0.25">
      <c r="G11" s="259" t="s">
        <v>275</v>
      </c>
      <c r="H11" s="346"/>
      <c r="I11" s="347"/>
      <c r="J11" s="309"/>
      <c r="K11" s="310"/>
      <c r="L11" s="348"/>
      <c r="M11" s="349"/>
      <c r="N11" s="350"/>
      <c r="O11" s="260">
        <f t="shared" si="0"/>
        <v>0</v>
      </c>
      <c r="P11" s="213">
        <f>ROUND(IF($O$5=$P$5,O11,IF($O$5=$Q$5,O11*GenAssumptions!$B$11,IF($O$5=$R$5,O11/GenAssumptions!$B$10,"ошибка в заполнении блока Курсы валют"))),2)</f>
        <v>0</v>
      </c>
      <c r="Q11" s="214">
        <f>ROUND(P11/GenAssumptions!$B$11,2)</f>
        <v>0</v>
      </c>
      <c r="R11" s="261">
        <f>ROUND(P11*GenAssumptions!$B$10,2)</f>
        <v>0</v>
      </c>
    </row>
    <row r="12" spans="2:22" ht="14.1" customHeight="1" x14ac:dyDescent="0.25">
      <c r="G12" s="259" t="s">
        <v>276</v>
      </c>
      <c r="H12" s="346"/>
      <c r="I12" s="347"/>
      <c r="J12" s="309"/>
      <c r="K12" s="351"/>
      <c r="L12" s="348"/>
      <c r="M12" s="349"/>
      <c r="N12" s="350"/>
      <c r="O12" s="260">
        <f t="shared" si="0"/>
        <v>0</v>
      </c>
      <c r="P12" s="213">
        <f>ROUND(IF($O$5=$P$5,O12,IF($O$5=$Q$5,O12*GenAssumptions!$B$11,IF($O$5=$R$5,O12/GenAssumptions!$B$10,"ошибка в заполнении блока Курсы валют"))),2)</f>
        <v>0</v>
      </c>
      <c r="Q12" s="214">
        <f>ROUND(P12/GenAssumptions!$B$11,2)</f>
        <v>0</v>
      </c>
      <c r="R12" s="261">
        <f>ROUND(P12*GenAssumptions!$B$10,2)</f>
        <v>0</v>
      </c>
    </row>
    <row r="13" spans="2:22" x14ac:dyDescent="0.25">
      <c r="G13" s="259" t="s">
        <v>277</v>
      </c>
      <c r="H13" s="346"/>
      <c r="I13" s="347"/>
      <c r="J13" s="309"/>
      <c r="K13" s="310"/>
      <c r="L13" s="350"/>
      <c r="M13" s="338"/>
      <c r="N13" s="350"/>
      <c r="O13" s="260">
        <f t="shared" si="0"/>
        <v>0</v>
      </c>
      <c r="P13" s="213">
        <f>ROUND(IF($O$5=$P$5,O13,IF($O$5=$Q$5,O13*GenAssumptions!$B$11,IF($O$5=$R$5,O13/GenAssumptions!$B$10,"ошибка в заполнении блока Курсы валют"))),2)</f>
        <v>0</v>
      </c>
      <c r="Q13" s="214">
        <f>ROUND(P13/GenAssumptions!$B$11,2)</f>
        <v>0</v>
      </c>
      <c r="R13" s="261">
        <f>ROUND(P13*GenAssumptions!$B$10,2)</f>
        <v>0</v>
      </c>
      <c r="T13" s="298" t="e">
        <f>('Budget for NGO'!I9-(SUMIFS('Services&amp;goods'!$P$4:$P$54,'Services&amp;goods'!$K$4:$K$54,$K13)*GenAssumptions!$E$16))/N13/12</f>
        <v>#DIV/0!</v>
      </c>
      <c r="U13" s="298"/>
      <c r="V13" s="298">
        <f>'Budget for NGO'!F9*32/251</f>
        <v>0.24073691952191234</v>
      </c>
    </row>
    <row r="14" spans="2:22" x14ac:dyDescent="0.25">
      <c r="G14" s="259" t="s">
        <v>278</v>
      </c>
      <c r="H14" s="346"/>
      <c r="I14" s="347"/>
      <c r="J14" s="309"/>
      <c r="K14" s="310"/>
      <c r="L14" s="350"/>
      <c r="M14" s="338"/>
      <c r="N14" s="350"/>
      <c r="O14" s="260">
        <f t="shared" si="0"/>
        <v>0</v>
      </c>
      <c r="P14" s="213">
        <f>ROUND(IF($O$5=$P$5,O14,IF($O$5=$Q$5,O14*GenAssumptions!$B$11,IF($O$5=$R$5,O14/GenAssumptions!$B$10,"ошибка в заполнении блока Курсы валют"))),2)</f>
        <v>0</v>
      </c>
      <c r="Q14" s="214">
        <f>ROUND(P14/GenAssumptions!$B$11,2)</f>
        <v>0</v>
      </c>
      <c r="R14" s="261">
        <f>ROUND(P14*GenAssumptions!$B$10,2)</f>
        <v>0</v>
      </c>
      <c r="T14" s="298" t="e">
        <f>('Budget for NGO'!I10-(SUMIFS('Services&amp;goods'!$P$4:$P$54,'Services&amp;goods'!$K$4:$K$54,$K14)*GenAssumptions!$E$16))/N14/12</f>
        <v>#DIV/0!</v>
      </c>
      <c r="U14" s="298"/>
      <c r="V14" s="298"/>
    </row>
    <row r="15" spans="2:22" ht="14.1" customHeight="1" x14ac:dyDescent="0.25">
      <c r="G15" s="262"/>
      <c r="H15" s="346"/>
      <c r="I15" s="347"/>
      <c r="J15" s="311"/>
      <c r="K15" s="310"/>
      <c r="L15" s="353"/>
      <c r="M15" s="338"/>
      <c r="N15" s="352"/>
      <c r="O15" s="260"/>
      <c r="P15" s="213"/>
      <c r="Q15" s="214"/>
      <c r="R15" s="261"/>
    </row>
    <row r="16" spans="2:22" ht="14.1" customHeight="1" x14ac:dyDescent="0.25">
      <c r="G16" s="263" t="s">
        <v>279</v>
      </c>
      <c r="H16" s="354" t="s">
        <v>222</v>
      </c>
      <c r="I16" s="355"/>
      <c r="J16" s="356"/>
      <c r="K16" s="357"/>
      <c r="L16" s="358"/>
      <c r="M16" s="359"/>
      <c r="N16" s="358"/>
      <c r="O16" s="255"/>
      <c r="P16" s="256"/>
      <c r="Q16" s="257"/>
      <c r="R16" s="258"/>
    </row>
    <row r="17" spans="7:18" ht="14.1" customHeight="1" x14ac:dyDescent="0.25">
      <c r="G17" s="264" t="s">
        <v>281</v>
      </c>
      <c r="H17" s="346" t="s">
        <v>321</v>
      </c>
      <c r="I17" s="347"/>
      <c r="J17" s="309" t="s">
        <v>103</v>
      </c>
      <c r="K17" s="310"/>
      <c r="L17" s="348">
        <v>12</v>
      </c>
      <c r="M17" s="361" t="s">
        <v>228</v>
      </c>
      <c r="N17" s="348">
        <f>54394</f>
        <v>54394</v>
      </c>
      <c r="O17" s="260">
        <f>IF(J17="Y",L17*N17,0)</f>
        <v>652728</v>
      </c>
      <c r="P17" s="213">
        <f>ROUND(IF($O$5=$P$5,O17,IF($O$5=$Q$5,O17*GenAssumptions!$B$11,IF($O$5=$R$5,O17/GenAssumptions!$B$10,"ошибка в заполнении блока Курсы валют"))),2)</f>
        <v>9324.69</v>
      </c>
      <c r="Q17" s="214">
        <f>ROUND(P17/GenAssumptions!$B$11,2)</f>
        <v>6958.72</v>
      </c>
      <c r="R17" s="261">
        <f>ROUND(P17*GenAssumptions!$B$10,2)</f>
        <v>652728.30000000005</v>
      </c>
    </row>
    <row r="18" spans="7:18" ht="14.1" customHeight="1" x14ac:dyDescent="0.25">
      <c r="G18" s="264" t="s">
        <v>282</v>
      </c>
      <c r="H18" s="346" t="s">
        <v>155</v>
      </c>
      <c r="I18" s="347"/>
      <c r="J18" s="309" t="s">
        <v>103</v>
      </c>
      <c r="K18" s="310"/>
      <c r="L18" s="348">
        <v>12</v>
      </c>
      <c r="M18" s="361" t="s">
        <v>228</v>
      </c>
      <c r="N18" s="348">
        <v>43558</v>
      </c>
      <c r="O18" s="260">
        <f t="shared" ref="O18" si="1">IF(J18="Y",L18*N18,0)</f>
        <v>522696</v>
      </c>
      <c r="P18" s="213">
        <f>ROUND(IF($O$5=$P$5,O18,IF($O$5=$Q$5,O18*GenAssumptions!$B$11,IF($O$5=$R$5,O18/GenAssumptions!$B$10,"ошибка в заполнении блока Курсы валют"))),2)</f>
        <v>7467.09</v>
      </c>
      <c r="Q18" s="214">
        <f>ROUND(P18/GenAssumptions!$B$11,2)</f>
        <v>5572.46</v>
      </c>
      <c r="R18" s="261">
        <f>ROUND(P18*GenAssumptions!$B$10,2)</f>
        <v>522696.3</v>
      </c>
    </row>
    <row r="19" spans="7:18" ht="14.1" customHeight="1" x14ac:dyDescent="0.25">
      <c r="G19" s="264" t="s">
        <v>283</v>
      </c>
      <c r="H19" s="346" t="s">
        <v>332</v>
      </c>
      <c r="I19" s="347"/>
      <c r="J19" s="309" t="s">
        <v>103</v>
      </c>
      <c r="K19" s="310"/>
      <c r="L19" s="348">
        <v>12</v>
      </c>
      <c r="M19" s="361" t="s">
        <v>228</v>
      </c>
      <c r="N19" s="348">
        <v>60000</v>
      </c>
      <c r="O19" s="260">
        <f>IF(J19="Y",L19*N19,0)</f>
        <v>720000</v>
      </c>
      <c r="P19" s="213">
        <f>ROUND(IF($O$5=$P$5,O19,IF($O$5=$Q$5,O19*GenAssumptions!$B$11,IF($O$5=$R$5,O19/GenAssumptions!$B$10,"ошибка в заполнении блока Курсы валют"))),2)</f>
        <v>10285.709999999999</v>
      </c>
      <c r="Q19" s="214">
        <f>ROUND(P19/GenAssumptions!$B$11,2)</f>
        <v>7675.9</v>
      </c>
      <c r="R19" s="261">
        <f>ROUND(P19*GenAssumptions!$B$10,2)</f>
        <v>719999.7</v>
      </c>
    </row>
    <row r="20" spans="7:18" ht="14.1" customHeight="1" x14ac:dyDescent="0.25">
      <c r="G20" s="264" t="s">
        <v>284</v>
      </c>
      <c r="H20" s="346" t="s">
        <v>333</v>
      </c>
      <c r="I20" s="347" t="s">
        <v>256</v>
      </c>
      <c r="J20" s="309" t="s">
        <v>103</v>
      </c>
      <c r="K20" s="360"/>
      <c r="L20" s="348">
        <v>12</v>
      </c>
      <c r="M20" s="361" t="s">
        <v>228</v>
      </c>
      <c r="N20" s="348">
        <v>18000</v>
      </c>
      <c r="O20" s="260">
        <f t="shared" ref="O20:O23" si="2">IF(J20="Y",L20*N20,0)</f>
        <v>216000</v>
      </c>
      <c r="P20" s="213">
        <f>ROUND(IF($O$5=$P$5,O20,IF($O$5=$Q$5,O20*GenAssumptions!$B$11,IF($O$5=$R$5,O20/GenAssumptions!$B$10,"ошибка в заполнении блока Курсы валют"))),2)</f>
        <v>3085.71</v>
      </c>
      <c r="Q20" s="214">
        <f>ROUND(P20/GenAssumptions!$B$11,2)</f>
        <v>2302.77</v>
      </c>
      <c r="R20" s="261">
        <f>ROUND(P20*GenAssumptions!$B$10,2)</f>
        <v>215999.7</v>
      </c>
    </row>
    <row r="21" spans="7:18" ht="14.1" customHeight="1" x14ac:dyDescent="0.25">
      <c r="G21" s="264" t="s">
        <v>285</v>
      </c>
      <c r="H21" s="346" t="s">
        <v>334</v>
      </c>
      <c r="I21" s="347"/>
      <c r="J21" s="309" t="s">
        <v>103</v>
      </c>
      <c r="K21" s="360"/>
      <c r="L21" s="348">
        <v>12</v>
      </c>
      <c r="M21" s="361" t="s">
        <v>228</v>
      </c>
      <c r="N21" s="348">
        <v>3000</v>
      </c>
      <c r="O21" s="260">
        <f t="shared" si="2"/>
        <v>36000</v>
      </c>
      <c r="P21" s="213">
        <f>ROUND(IF($O$5=$P$5,O21,IF($O$5=$Q$5,O21*GenAssumptions!$B$11,IF($O$5=$R$5,O21/GenAssumptions!$B$10,"ошибка в заполнении блока Курсы валют"))),2)</f>
        <v>514.29</v>
      </c>
      <c r="Q21" s="214">
        <f>ROUND(P21/GenAssumptions!$B$11,2)</f>
        <v>383.8</v>
      </c>
      <c r="R21" s="261">
        <f>ROUND(P21*GenAssumptions!$B$10,2)</f>
        <v>36000.300000000003</v>
      </c>
    </row>
    <row r="22" spans="7:18" ht="14.1" customHeight="1" x14ac:dyDescent="0.25">
      <c r="G22" s="264" t="s">
        <v>342</v>
      </c>
      <c r="H22" s="346" t="s">
        <v>335</v>
      </c>
      <c r="I22" s="347"/>
      <c r="J22" s="309" t="s">
        <v>103</v>
      </c>
      <c r="K22" s="360"/>
      <c r="L22" s="348">
        <v>12</v>
      </c>
      <c r="M22" s="361" t="s">
        <v>228</v>
      </c>
      <c r="N22" s="348">
        <v>10000</v>
      </c>
      <c r="O22" s="260">
        <f t="shared" si="2"/>
        <v>120000</v>
      </c>
      <c r="P22" s="213">
        <f>ROUND(IF($O$5=$P$5,O22,IF($O$5=$Q$5,O22*GenAssumptions!$B$11,IF($O$5=$R$5,O22/GenAssumptions!$B$10,"ошибка в заполнении блока Курсы валют"))),2)</f>
        <v>1714.29</v>
      </c>
      <c r="Q22" s="214">
        <f>ROUND(P22/GenAssumptions!$B$11,2)</f>
        <v>1279.32</v>
      </c>
      <c r="R22" s="261">
        <f>ROUND(P22*GenAssumptions!$B$10,2)</f>
        <v>120000.3</v>
      </c>
    </row>
    <row r="23" spans="7:18" ht="14.1" customHeight="1" x14ac:dyDescent="0.25">
      <c r="G23" s="264" t="s">
        <v>343</v>
      </c>
      <c r="H23" s="346" t="s">
        <v>336</v>
      </c>
      <c r="I23" s="347"/>
      <c r="J23" s="309" t="s">
        <v>103</v>
      </c>
      <c r="K23" s="360"/>
      <c r="L23" s="348">
        <v>12</v>
      </c>
      <c r="M23" s="361" t="s">
        <v>228</v>
      </c>
      <c r="N23" s="348">
        <v>10000</v>
      </c>
      <c r="O23" s="260">
        <f t="shared" si="2"/>
        <v>120000</v>
      </c>
      <c r="P23" s="213">
        <f>ROUND(IF($O$5=$P$5,O23,IF($O$5=$Q$5,O23*GenAssumptions!$B$11,IF($O$5=$R$5,O23/GenAssumptions!$B$10,"ошибка в заполнении блока Курсы валют"))),2)</f>
        <v>1714.29</v>
      </c>
      <c r="Q23" s="214">
        <f>ROUND(P23/GenAssumptions!$B$11,2)</f>
        <v>1279.32</v>
      </c>
      <c r="R23" s="261">
        <f>ROUND(P23*GenAssumptions!$B$10,2)</f>
        <v>120000.3</v>
      </c>
    </row>
    <row r="24" spans="7:18" ht="14.1" customHeight="1" x14ac:dyDescent="0.25">
      <c r="G24" s="263" t="s">
        <v>280</v>
      </c>
      <c r="H24" s="354" t="s">
        <v>242</v>
      </c>
      <c r="I24" s="355"/>
      <c r="J24" s="356"/>
      <c r="K24" s="357"/>
      <c r="L24" s="358"/>
      <c r="M24" s="359"/>
      <c r="N24" s="358"/>
      <c r="O24" s="255"/>
      <c r="P24" s="256"/>
      <c r="Q24" s="257"/>
      <c r="R24" s="258"/>
    </row>
    <row r="25" spans="7:18" ht="14.1" customHeight="1" x14ac:dyDescent="0.25">
      <c r="G25" s="264" t="s">
        <v>286</v>
      </c>
      <c r="H25" s="346" t="s">
        <v>250</v>
      </c>
      <c r="I25" s="347"/>
      <c r="J25" s="309" t="s">
        <v>103</v>
      </c>
      <c r="K25" s="360"/>
      <c r="L25" s="348">
        <v>12</v>
      </c>
      <c r="M25" s="361" t="s">
        <v>228</v>
      </c>
      <c r="N25" s="348">
        <v>24100</v>
      </c>
      <c r="O25" s="260">
        <f>IF(J25="Y",L25*N25,0)</f>
        <v>289200</v>
      </c>
      <c r="P25" s="213">
        <f>ROUND(IF($O$5=$P$5,O25,IF($O$5=$Q$5,O25*GenAssumptions!$B$11,IF($O$5=$R$5,O25/GenAssumptions!$B$10,"ошибка в заполнении блока Курсы валют"))),2)</f>
        <v>4131.43</v>
      </c>
      <c r="Q25" s="214">
        <f>ROUND(P25/GenAssumptions!$B$11,2)</f>
        <v>3083.16</v>
      </c>
      <c r="R25" s="261">
        <f>ROUND(P25*GenAssumptions!$B$10,2)</f>
        <v>289200.09999999998</v>
      </c>
    </row>
    <row r="26" spans="7:18" ht="14.1" customHeight="1" x14ac:dyDescent="0.25">
      <c r="G26" s="264" t="s">
        <v>287</v>
      </c>
      <c r="H26" s="346" t="s">
        <v>326</v>
      </c>
      <c r="I26" s="347"/>
      <c r="J26" s="309" t="s">
        <v>103</v>
      </c>
      <c r="K26" s="360"/>
      <c r="L26" s="348">
        <v>12</v>
      </c>
      <c r="M26" s="361" t="s">
        <v>228</v>
      </c>
      <c r="N26" s="348">
        <v>7200</v>
      </c>
      <c r="O26" s="260">
        <f t="shared" ref="O26:O41" si="3">IF(J26="Y",L26*N26,0)</f>
        <v>86400</v>
      </c>
      <c r="P26" s="213">
        <f>ROUND(IF($O$5=$P$5,O26,IF($O$5=$Q$5,O26*GenAssumptions!$B$11,IF($O$5=$R$5,O26/GenAssumptions!$B$10,"ошибка в заполнении блока Курсы валют"))),2)</f>
        <v>1234.29</v>
      </c>
      <c r="Q26" s="214">
        <f>ROUND(P26/GenAssumptions!$B$11,2)</f>
        <v>921.11</v>
      </c>
      <c r="R26" s="261">
        <f>ROUND(P26*GenAssumptions!$B$10,2)</f>
        <v>86400.3</v>
      </c>
    </row>
    <row r="27" spans="7:18" ht="14.1" customHeight="1" x14ac:dyDescent="0.25">
      <c r="G27" s="264" t="s">
        <v>288</v>
      </c>
      <c r="H27" s="346" t="s">
        <v>261</v>
      </c>
      <c r="I27" s="347"/>
      <c r="J27" s="309" t="s">
        <v>103</v>
      </c>
      <c r="K27" s="360"/>
      <c r="L27" s="348">
        <v>12</v>
      </c>
      <c r="M27" s="361" t="s">
        <v>228</v>
      </c>
      <c r="N27" s="348">
        <v>9000</v>
      </c>
      <c r="O27" s="260">
        <f t="shared" si="3"/>
        <v>108000</v>
      </c>
      <c r="P27" s="213">
        <f>ROUND(IF($O$5=$P$5,O27,IF($O$5=$Q$5,O27*GenAssumptions!$B$11,IF($O$5=$R$5,O27/GenAssumptions!$B$10,"ошибка в заполнении блока Курсы валют"))),2)</f>
        <v>1542.86</v>
      </c>
      <c r="Q27" s="214">
        <f>ROUND(P27/GenAssumptions!$B$11,2)</f>
        <v>1151.3900000000001</v>
      </c>
      <c r="R27" s="261">
        <f>ROUND(P27*GenAssumptions!$B$10,2)</f>
        <v>108000.2</v>
      </c>
    </row>
    <row r="28" spans="7:18" ht="14.1" customHeight="1" x14ac:dyDescent="0.25">
      <c r="G28" s="264" t="s">
        <v>289</v>
      </c>
      <c r="H28" s="346" t="s">
        <v>327</v>
      </c>
      <c r="I28" s="347"/>
      <c r="J28" s="309" t="s">
        <v>103</v>
      </c>
      <c r="K28" s="360"/>
      <c r="L28" s="348">
        <v>12</v>
      </c>
      <c r="M28" s="361" t="s">
        <v>228</v>
      </c>
      <c r="N28" s="348">
        <v>20000</v>
      </c>
      <c r="O28" s="260">
        <f t="shared" si="3"/>
        <v>240000</v>
      </c>
      <c r="P28" s="213">
        <f>ROUND(IF($O$5=$P$5,O28,IF($O$5=$Q$5,O28*GenAssumptions!$B$11,IF($O$5=$R$5,O28/GenAssumptions!$B$10,"ошибка в заполнении блока Курсы валют"))),2)</f>
        <v>3428.57</v>
      </c>
      <c r="Q28" s="214">
        <f>ROUND(P28/GenAssumptions!$B$11,2)</f>
        <v>2558.63</v>
      </c>
      <c r="R28" s="261">
        <f>ROUND(P28*GenAssumptions!$B$10,2)</f>
        <v>239999.9</v>
      </c>
    </row>
    <row r="29" spans="7:18" ht="14.1" customHeight="1" x14ac:dyDescent="0.25">
      <c r="G29" s="264" t="s">
        <v>290</v>
      </c>
      <c r="H29" s="346" t="s">
        <v>328</v>
      </c>
      <c r="I29" s="347"/>
      <c r="J29" s="309" t="s">
        <v>103</v>
      </c>
      <c r="K29" s="360"/>
      <c r="L29" s="348">
        <v>12</v>
      </c>
      <c r="M29" s="361" t="s">
        <v>228</v>
      </c>
      <c r="N29" s="348">
        <v>10000</v>
      </c>
      <c r="O29" s="260">
        <f t="shared" si="3"/>
        <v>120000</v>
      </c>
      <c r="P29" s="213">
        <f>ROUND(IF($O$5=$P$5,O29,IF($O$5=$Q$5,O29*GenAssumptions!$B$11,IF($O$5=$R$5,O29/GenAssumptions!$B$10,"ошибка в заполнении блока Курсы валют"))),2)</f>
        <v>1714.29</v>
      </c>
      <c r="Q29" s="214">
        <f>ROUND(P29/GenAssumptions!$B$11,2)</f>
        <v>1279.32</v>
      </c>
      <c r="R29" s="261">
        <f>ROUND(P29*GenAssumptions!$B$10,2)</f>
        <v>120000.3</v>
      </c>
    </row>
    <row r="30" spans="7:18" ht="14.1" customHeight="1" x14ac:dyDescent="0.25">
      <c r="G30" s="264" t="s">
        <v>291</v>
      </c>
      <c r="H30" s="346" t="s">
        <v>329</v>
      </c>
      <c r="I30" s="347"/>
      <c r="J30" s="309" t="s">
        <v>103</v>
      </c>
      <c r="K30" s="360"/>
      <c r="L30" s="348">
        <v>12</v>
      </c>
      <c r="M30" s="361" t="s">
        <v>228</v>
      </c>
      <c r="N30" s="348">
        <v>8000</v>
      </c>
      <c r="O30" s="260">
        <f t="shared" si="3"/>
        <v>96000</v>
      </c>
      <c r="P30" s="213">
        <f>ROUND(IF($O$5=$P$5,O30,IF($O$5=$Q$5,O30*GenAssumptions!$B$11,IF($O$5=$R$5,O30/GenAssumptions!$B$10,"ошибка в заполнении блока Курсы валют"))),2)</f>
        <v>1371.43</v>
      </c>
      <c r="Q30" s="214">
        <f>ROUND(P30/GenAssumptions!$B$11,2)</f>
        <v>1023.46</v>
      </c>
      <c r="R30" s="261">
        <f>ROUND(P30*GenAssumptions!$B$10,2)</f>
        <v>96000.1</v>
      </c>
    </row>
    <row r="31" spans="7:18" ht="14.1" customHeight="1" x14ac:dyDescent="0.25">
      <c r="G31" s="264" t="s">
        <v>292</v>
      </c>
      <c r="H31" s="346" t="s">
        <v>262</v>
      </c>
      <c r="I31" s="347"/>
      <c r="J31" s="309" t="s">
        <v>103</v>
      </c>
      <c r="K31" s="360"/>
      <c r="L31" s="348">
        <v>12</v>
      </c>
      <c r="M31" s="361" t="s">
        <v>228</v>
      </c>
      <c r="N31" s="348">
        <v>7000</v>
      </c>
      <c r="O31" s="260">
        <f t="shared" si="3"/>
        <v>84000</v>
      </c>
      <c r="P31" s="213">
        <f>ROUND(IF($O$5=$P$5,O31,IF($O$5=$Q$5,O31*GenAssumptions!$B$11,IF($O$5=$R$5,O31/GenAssumptions!$B$10,"ошибка в заполнении блока Курсы валют"))),2)</f>
        <v>1200</v>
      </c>
      <c r="Q31" s="214">
        <f>ROUND(P31/GenAssumptions!$B$11,2)</f>
        <v>895.52</v>
      </c>
      <c r="R31" s="261">
        <f>ROUND(P31*GenAssumptions!$B$10,2)</f>
        <v>84000</v>
      </c>
    </row>
    <row r="32" spans="7:18" ht="14.1" customHeight="1" x14ac:dyDescent="0.25">
      <c r="G32" s="264" t="s">
        <v>293</v>
      </c>
      <c r="H32" s="346" t="s">
        <v>330</v>
      </c>
      <c r="I32" s="347"/>
      <c r="J32" s="309" t="s">
        <v>103</v>
      </c>
      <c r="K32" s="360"/>
      <c r="L32" s="348">
        <v>12</v>
      </c>
      <c r="M32" s="361" t="s">
        <v>228</v>
      </c>
      <c r="N32" s="348">
        <v>1000</v>
      </c>
      <c r="O32" s="260">
        <f t="shared" si="3"/>
        <v>12000</v>
      </c>
      <c r="P32" s="213">
        <f>ROUND(IF($O$5=$P$5,O32,IF($O$5=$Q$5,O32*GenAssumptions!$B$11,IF($O$5=$R$5,O32/GenAssumptions!$B$10,"ошибка в заполнении блока Курсы валют"))),2)</f>
        <v>171.43</v>
      </c>
      <c r="Q32" s="214">
        <f>ROUND(P32/GenAssumptions!$B$11,2)</f>
        <v>127.93</v>
      </c>
      <c r="R32" s="261">
        <f>ROUND(P32*GenAssumptions!$B$10,2)</f>
        <v>12000.1</v>
      </c>
    </row>
    <row r="33" spans="7:18" ht="14.1" customHeight="1" x14ac:dyDescent="0.25">
      <c r="G33" s="264" t="s">
        <v>294</v>
      </c>
      <c r="H33" s="346" t="s">
        <v>331</v>
      </c>
      <c r="I33" s="347"/>
      <c r="J33" s="309" t="s">
        <v>103</v>
      </c>
      <c r="K33" s="360"/>
      <c r="L33" s="348">
        <v>12</v>
      </c>
      <c r="M33" s="361" t="s">
        <v>228</v>
      </c>
      <c r="N33" s="348">
        <v>5000</v>
      </c>
      <c r="O33" s="260">
        <f t="shared" si="3"/>
        <v>60000</v>
      </c>
      <c r="P33" s="213">
        <f>ROUND(IF($O$5=$P$5,O33,IF($O$5=$Q$5,O33*GenAssumptions!$B$11,IF($O$5=$R$5,O33/GenAssumptions!$B$10,"ошибка в заполнении блока Курсы валют"))),2)</f>
        <v>857.14</v>
      </c>
      <c r="Q33" s="214">
        <f>ROUND(P33/GenAssumptions!$B$11,2)</f>
        <v>639.66</v>
      </c>
      <c r="R33" s="261">
        <f>ROUND(P33*GenAssumptions!$B$10,2)</f>
        <v>59999.8</v>
      </c>
    </row>
    <row r="34" spans="7:18" ht="14.1" customHeight="1" x14ac:dyDescent="0.25">
      <c r="G34" s="264" t="s">
        <v>337</v>
      </c>
      <c r="H34" s="346"/>
      <c r="I34" s="347"/>
      <c r="J34" s="309"/>
      <c r="K34" s="360"/>
      <c r="L34" s="348">
        <v>12</v>
      </c>
      <c r="M34" s="361" t="s">
        <v>228</v>
      </c>
      <c r="N34" s="348"/>
      <c r="O34" s="260">
        <f t="shared" si="3"/>
        <v>0</v>
      </c>
      <c r="P34" s="213">
        <f>ROUND(IF($O$5=$P$5,O34,IF($O$5=$Q$5,O34*GenAssumptions!$B$11,IF($O$5=$R$5,O34/GenAssumptions!$B$10,"ошибка в заполнении блока Курсы валют"))),2)</f>
        <v>0</v>
      </c>
      <c r="Q34" s="214">
        <f>ROUND(P34/GenAssumptions!$B$11,2)</f>
        <v>0</v>
      </c>
      <c r="R34" s="261">
        <f>ROUND(P34*GenAssumptions!$B$10,2)</f>
        <v>0</v>
      </c>
    </row>
    <row r="35" spans="7:18" ht="14.1" customHeight="1" x14ac:dyDescent="0.25">
      <c r="G35" s="264" t="s">
        <v>338</v>
      </c>
      <c r="H35" s="346"/>
      <c r="I35" s="347"/>
      <c r="J35" s="309"/>
      <c r="K35" s="360"/>
      <c r="L35" s="348">
        <v>12</v>
      </c>
      <c r="M35" s="361" t="s">
        <v>228</v>
      </c>
      <c r="N35" s="348"/>
      <c r="O35" s="260">
        <f t="shared" si="3"/>
        <v>0</v>
      </c>
      <c r="P35" s="213">
        <f>ROUND(IF($O$5=$P$5,O35,IF($O$5=$Q$5,O35*GenAssumptions!$B$11,IF($O$5=$R$5,O35/GenAssumptions!$B$10,"ошибка в заполнении блока Курсы валют"))),2)</f>
        <v>0</v>
      </c>
      <c r="Q35" s="214">
        <f>ROUND(P35/GenAssumptions!$B$11,2)</f>
        <v>0</v>
      </c>
      <c r="R35" s="261">
        <f>ROUND(P35*GenAssumptions!$B$10,2)</f>
        <v>0</v>
      </c>
    </row>
    <row r="36" spans="7:18" ht="14.1" customHeight="1" x14ac:dyDescent="0.25">
      <c r="G36" s="264" t="s">
        <v>339</v>
      </c>
      <c r="H36" s="346"/>
      <c r="I36" s="347"/>
      <c r="J36" s="309"/>
      <c r="K36" s="360"/>
      <c r="L36" s="348">
        <v>12</v>
      </c>
      <c r="M36" s="361" t="s">
        <v>228</v>
      </c>
      <c r="N36" s="348"/>
      <c r="O36" s="260">
        <f t="shared" si="3"/>
        <v>0</v>
      </c>
      <c r="P36" s="213">
        <f>ROUND(IF($O$5=$P$5,O36,IF($O$5=$Q$5,O36*GenAssumptions!$B$11,IF($O$5=$R$5,O36/GenAssumptions!$B$10,"ошибка в заполнении блока Курсы валют"))),2)</f>
        <v>0</v>
      </c>
      <c r="Q36" s="214">
        <f>ROUND(P36/GenAssumptions!$B$11,2)</f>
        <v>0</v>
      </c>
      <c r="R36" s="261">
        <f>ROUND(P36*GenAssumptions!$B$10,2)</f>
        <v>0</v>
      </c>
    </row>
    <row r="37" spans="7:18" ht="14.1" customHeight="1" x14ac:dyDescent="0.25">
      <c r="G37" s="264" t="s">
        <v>340</v>
      </c>
      <c r="H37" s="346"/>
      <c r="I37" s="347"/>
      <c r="J37" s="309"/>
      <c r="K37" s="360"/>
      <c r="L37" s="348">
        <v>12</v>
      </c>
      <c r="M37" s="361" t="s">
        <v>228</v>
      </c>
      <c r="N37" s="348"/>
      <c r="O37" s="260">
        <f t="shared" si="3"/>
        <v>0</v>
      </c>
      <c r="P37" s="213">
        <f>ROUND(IF($O$5=$P$5,O37,IF($O$5=$Q$5,O37*GenAssumptions!$B$11,IF($O$5=$R$5,O37/GenAssumptions!$B$10,"ошибка в заполнении блока Курсы валют"))),2)</f>
        <v>0</v>
      </c>
      <c r="Q37" s="214">
        <f>ROUND(P37/GenAssumptions!$B$11,2)</f>
        <v>0</v>
      </c>
      <c r="R37" s="261">
        <f>ROUND(P37*GenAssumptions!$B$10,2)</f>
        <v>0</v>
      </c>
    </row>
    <row r="38" spans="7:18" ht="14.1" customHeight="1" x14ac:dyDescent="0.25">
      <c r="G38" s="264" t="s">
        <v>341</v>
      </c>
      <c r="H38" s="346"/>
      <c r="I38" s="347"/>
      <c r="J38" s="309"/>
      <c r="K38" s="360"/>
      <c r="L38" s="348">
        <v>12</v>
      </c>
      <c r="M38" s="361" t="s">
        <v>228</v>
      </c>
      <c r="N38" s="348"/>
      <c r="O38" s="260">
        <f t="shared" si="3"/>
        <v>0</v>
      </c>
      <c r="P38" s="213">
        <f>ROUND(IF($O$5=$P$5,O38,IF($O$5=$Q$5,O38*GenAssumptions!$B$11,IF($O$5=$R$5,O38/GenAssumptions!$B$10,"ошибка в заполнении блока Курсы валют"))),2)</f>
        <v>0</v>
      </c>
      <c r="Q38" s="214">
        <f>ROUND(P38/GenAssumptions!$B$11,2)</f>
        <v>0</v>
      </c>
      <c r="R38" s="261">
        <f>ROUND(P38*GenAssumptions!$B$10,2)</f>
        <v>0</v>
      </c>
    </row>
    <row r="39" spans="7:18" ht="14.1" customHeight="1" x14ac:dyDescent="0.25">
      <c r="G39" s="264"/>
      <c r="H39" s="346"/>
      <c r="I39" s="347"/>
      <c r="J39" s="309"/>
      <c r="K39" s="360"/>
      <c r="L39" s="348"/>
      <c r="M39" s="361" t="s">
        <v>228</v>
      </c>
      <c r="N39" s="348"/>
      <c r="O39" s="260">
        <f t="shared" si="3"/>
        <v>0</v>
      </c>
      <c r="P39" s="213">
        <f>ROUND(IF($O$5=$P$5,O39,IF($O$5=$Q$5,O39*GenAssumptions!$B$11,IF($O$5=$R$5,O39/GenAssumptions!$B$10,"ошибка в заполнении блока Курсы валют"))),2)</f>
        <v>0</v>
      </c>
      <c r="Q39" s="214">
        <f>ROUND(P39/GenAssumptions!$B$11,2)</f>
        <v>0</v>
      </c>
      <c r="R39" s="261">
        <f>ROUND(P39*GenAssumptions!$B$10,2)</f>
        <v>0</v>
      </c>
    </row>
    <row r="40" spans="7:18" ht="14.1" customHeight="1" x14ac:dyDescent="0.25">
      <c r="G40" s="262"/>
      <c r="H40" s="346"/>
      <c r="I40" s="347"/>
      <c r="J40" s="309"/>
      <c r="K40" s="360"/>
      <c r="L40" s="348"/>
      <c r="M40" s="361" t="s">
        <v>228</v>
      </c>
      <c r="N40" s="348"/>
      <c r="O40" s="260">
        <f t="shared" si="3"/>
        <v>0</v>
      </c>
      <c r="P40" s="213">
        <f>ROUND(IF($O$5=$P$5,O40,IF($O$5=$Q$5,O40*GenAssumptions!$B$11,IF($O$5=$R$5,O40/GenAssumptions!$B$10,"ошибка в заполнении блока Курсы валют"))),2)</f>
        <v>0</v>
      </c>
      <c r="Q40" s="214">
        <f>ROUND(P40/GenAssumptions!$B$11,2)</f>
        <v>0</v>
      </c>
      <c r="R40" s="261">
        <f>ROUND(P40*GenAssumptions!$B$10,2)</f>
        <v>0</v>
      </c>
    </row>
    <row r="41" spans="7:18" ht="14.1" customHeight="1" thickBot="1" x14ac:dyDescent="0.3">
      <c r="G41" s="265"/>
      <c r="H41" s="362"/>
      <c r="I41" s="363"/>
      <c r="J41" s="364"/>
      <c r="K41" s="365"/>
      <c r="L41" s="366"/>
      <c r="M41" s="367" t="s">
        <v>228</v>
      </c>
      <c r="N41" s="366"/>
      <c r="O41" s="260">
        <f t="shared" si="3"/>
        <v>0</v>
      </c>
      <c r="P41" s="213">
        <f>ROUND(IF($O$5=$P$5,O41,IF($O$5=$Q$5,O41*GenAssumptions!$B$11,IF($O$5=$R$5,O41/GenAssumptions!$B$10,"ошибка в заполнении блока Курсы валют"))),2)</f>
        <v>0</v>
      </c>
      <c r="Q41" s="214">
        <f>ROUND(P41/GenAssumptions!$B$11,2)</f>
        <v>0</v>
      </c>
      <c r="R41" s="261">
        <f>ROUND(P41*GenAssumptions!$B$10,2)</f>
        <v>0</v>
      </c>
    </row>
  </sheetData>
  <sheetProtection algorithmName="SHA-512" hashValue="GcBv07I2bHmUsDm3wLPD1QDGb8ACeIV5i71zJJ4KlRkKEYhFnwefIv3YZSI8EJ6ZiCJcUAd0fjeQODbrjcu2Rg==" saltValue="KD61dxlprYHRXZnmcYIk8A==" spinCount="100000" sheet="1" formatCells="0" formatColumns="0" formatRows="0" insertColumns="0" insertRows="0" insertHyperlinks="0" deleteColumns="0" deleteRows="0" autoFilter="0"/>
  <autoFilter ref="A4:R6" xr:uid="{00000000-0009-0000-0000-000004000000}"/>
  <phoneticPr fontId="175" type="noConversion"/>
  <dataValidations count="1">
    <dataValidation type="list" showInputMessage="1" showErrorMessage="1" promptTitle="Выберете из списка" prompt="Y - услуга предоставляется;_x000a_N - не предоставляется" sqref="J8:J15 J25:J41 J17:J23" xr:uid="{00000000-0002-0000-0400-000000000000}">
      <formula1>YN</formula1>
    </dataValidation>
  </dataValidations>
  <pageMargins left="0.7" right="0.7" top="0.75" bottom="0.75" header="0.3" footer="0.3"/>
  <pageSetup paperSize="8" scale="77"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B1:R56"/>
  <sheetViews>
    <sheetView topLeftCell="B1" zoomScale="90" zoomScaleNormal="90" zoomScalePageLayoutView="90" workbookViewId="0">
      <pane xSplit="6" ySplit="5" topLeftCell="H10" activePane="bottomRight" state="frozen"/>
      <selection activeCell="G1" sqref="G1"/>
      <selection pane="topRight" activeCell="H1" sqref="H1"/>
      <selection pane="bottomLeft" activeCell="G6" sqref="G6"/>
      <selection pane="bottomRight" activeCell="H45" sqref="H45"/>
    </sheetView>
  </sheetViews>
  <sheetFormatPr defaultColWidth="8.85546875" defaultRowHeight="14.25" outlineLevelRow="1" outlineLevelCol="1" x14ac:dyDescent="0.2"/>
  <cols>
    <col min="1" max="1" width="8.85546875" style="17"/>
    <col min="2" max="2" width="5.7109375" style="17" hidden="1" customWidth="1" outlineLevel="1"/>
    <col min="3" max="4" width="4.140625" style="17" hidden="1" customWidth="1" outlineLevel="1"/>
    <col min="5" max="5" width="5.7109375" style="17" hidden="1" customWidth="1" outlineLevel="1"/>
    <col min="6" max="6" width="4.140625" style="17" hidden="1" customWidth="1" outlineLevel="1"/>
    <col min="7" max="7" width="7.42578125" style="27" customWidth="1" collapsed="1"/>
    <col min="8" max="8" width="45.7109375" style="27" customWidth="1"/>
    <col min="9" max="9" width="30.85546875" style="22" customWidth="1"/>
    <col min="10" max="10" width="14.42578125" style="17" customWidth="1"/>
    <col min="11" max="11" width="34.28515625" style="17" customWidth="1"/>
    <col min="12" max="12" width="24.42578125" style="17" customWidth="1"/>
    <col min="13" max="13" width="20.85546875" style="17" customWidth="1"/>
    <col min="14" max="14" width="16.42578125" style="17" customWidth="1"/>
    <col min="15" max="15" width="12.140625" style="17" hidden="1" customWidth="1" outlineLevel="1"/>
    <col min="16" max="16" width="12.140625" style="17" customWidth="1" collapsed="1"/>
    <col min="17" max="18" width="12.140625" style="17" customWidth="1"/>
    <col min="19" max="16384" width="8.85546875" style="17"/>
  </cols>
  <sheetData>
    <row r="1" spans="2:18" ht="7.5" customHeight="1" x14ac:dyDescent="0.2"/>
    <row r="2" spans="2:18" s="52" customFormat="1" ht="36.75" customHeight="1" x14ac:dyDescent="0.25">
      <c r="G2" s="53" t="s">
        <v>223</v>
      </c>
      <c r="H2" s="53"/>
      <c r="I2" s="53"/>
      <c r="J2" s="53"/>
      <c r="K2" s="53"/>
      <c r="L2" s="53"/>
      <c r="M2" s="53"/>
      <c r="N2" s="53"/>
      <c r="O2" s="53"/>
      <c r="P2" s="53"/>
      <c r="Q2" s="53"/>
      <c r="R2" s="53"/>
    </row>
    <row r="3" spans="2:18" ht="6.75" customHeight="1" x14ac:dyDescent="0.2">
      <c r="G3" s="14"/>
      <c r="H3" s="14"/>
      <c r="I3" s="15"/>
      <c r="J3" s="16"/>
      <c r="K3" s="16"/>
      <c r="L3" s="16"/>
      <c r="M3" s="16"/>
      <c r="N3" s="18"/>
      <c r="O3" s="18"/>
      <c r="P3" s="18"/>
      <c r="Q3" s="18"/>
      <c r="R3" s="18"/>
    </row>
    <row r="4" spans="2:18" ht="74.25" customHeight="1" x14ac:dyDescent="0.2">
      <c r="B4" s="17" t="s">
        <v>170</v>
      </c>
      <c r="G4" s="54" t="s">
        <v>214</v>
      </c>
      <c r="H4" s="29" t="s">
        <v>153</v>
      </c>
      <c r="I4" s="30" t="s">
        <v>86</v>
      </c>
      <c r="J4" s="29" t="s">
        <v>213</v>
      </c>
      <c r="K4" s="29" t="s">
        <v>235</v>
      </c>
      <c r="L4" s="29" t="s">
        <v>236</v>
      </c>
      <c r="M4" s="29" t="s">
        <v>237</v>
      </c>
      <c r="N4" s="29" t="s">
        <v>238</v>
      </c>
      <c r="O4" s="29" t="str">
        <f>"Стоимость, "&amp;O5</f>
        <v>Стоимость, USD</v>
      </c>
      <c r="P4" s="49" t="s">
        <v>140</v>
      </c>
      <c r="Q4" s="49" t="s">
        <v>197</v>
      </c>
      <c r="R4" s="29" t="str">
        <f>"Стоимость, "&amp;R5</f>
        <v>Стоимость, RUB</v>
      </c>
    </row>
    <row r="5" spans="2:18" x14ac:dyDescent="0.2">
      <c r="G5" s="29"/>
      <c r="H5" s="29"/>
      <c r="I5" s="30"/>
      <c r="J5" s="29"/>
      <c r="K5" s="29"/>
      <c r="L5" s="29"/>
      <c r="M5" s="29"/>
      <c r="N5" s="45" t="str">
        <f>GenAssumptions!$B$9</f>
        <v>USD</v>
      </c>
      <c r="O5" s="45" t="str">
        <f>GenAssumptions!$B$9</f>
        <v>USD</v>
      </c>
      <c r="P5" s="50" t="s">
        <v>145</v>
      </c>
      <c r="Q5" s="50" t="s">
        <v>144</v>
      </c>
      <c r="R5" s="45" t="str">
        <f>GenAssumptions!$B$8</f>
        <v>RUB</v>
      </c>
    </row>
    <row r="6" spans="2:18" s="19" customFormat="1" ht="15.75" x14ac:dyDescent="0.25">
      <c r="G6" s="31" t="s">
        <v>130</v>
      </c>
      <c r="H6" s="31" t="s">
        <v>117</v>
      </c>
      <c r="I6" s="32"/>
      <c r="J6" s="33"/>
      <c r="K6" s="34"/>
      <c r="L6" s="42"/>
      <c r="M6" s="42"/>
      <c r="N6" s="42"/>
      <c r="O6" s="35">
        <f>SUM(O28:O56)</f>
        <v>43484.119999999995</v>
      </c>
      <c r="P6" s="35">
        <f>SUM(P28:P56)</f>
        <v>43484.119999999995</v>
      </c>
      <c r="Q6" s="35">
        <f>SUM(Q28:Q56)</f>
        <v>32450.829999999998</v>
      </c>
      <c r="R6" s="35">
        <f>SUM(R28:R56)</f>
        <v>2271558.1000000006</v>
      </c>
    </row>
    <row r="7" spans="2:18" outlineLevel="1" x14ac:dyDescent="0.2">
      <c r="G7" s="36"/>
      <c r="H7" s="36" t="s">
        <v>239</v>
      </c>
      <c r="I7" s="37"/>
      <c r="J7" s="38"/>
      <c r="K7" s="39"/>
      <c r="L7" s="41"/>
      <c r="M7" s="41"/>
      <c r="N7" s="41"/>
      <c r="O7" s="40"/>
      <c r="P7" s="40"/>
      <c r="Q7" s="40"/>
      <c r="R7" s="40"/>
    </row>
    <row r="8" spans="2:18" outlineLevel="1" x14ac:dyDescent="0.2">
      <c r="G8" s="21"/>
      <c r="H8" s="17" t="s">
        <v>199</v>
      </c>
      <c r="I8" s="26" t="s">
        <v>240</v>
      </c>
      <c r="J8" s="23" t="s">
        <v>103</v>
      </c>
      <c r="K8" s="43" t="s">
        <v>110</v>
      </c>
      <c r="L8" s="47">
        <f>12*2*2</f>
        <v>48</v>
      </c>
      <c r="M8" s="28" t="s">
        <v>220</v>
      </c>
      <c r="N8" s="25" t="e">
        <f>IF(J8="Y",ROUND(SUMIFS(GenAssumptions!$E:$E,GenAssumptions!$C:$C,$K8)*12/(251*GenAssumptions!#REF!),2),0)</f>
        <v>#REF!</v>
      </c>
      <c r="O8" s="25" t="e">
        <f>L8*N8</f>
        <v>#REF!</v>
      </c>
      <c r="P8" s="51" t="e">
        <f>ROUND(IF($O$5=$P$5,O8,IF($O$5=$Q$5,O8*GenAssumptions!$B$11,IF($O$5=$R$5,O8/GenAssumptions!$B$10,"ошибка в заполнении блока Курсы валют"))),2)</f>
        <v>#REF!</v>
      </c>
      <c r="Q8" s="51" t="e">
        <f>ROUND(P8/GenAssumptions!$B$11,2)</f>
        <v>#REF!</v>
      </c>
      <c r="R8" s="25" t="e">
        <f>ROUND(Q8*GenAssumptions!$B$10,2)</f>
        <v>#REF!</v>
      </c>
    </row>
    <row r="9" spans="2:18" outlineLevel="1" x14ac:dyDescent="0.2">
      <c r="G9" s="21"/>
      <c r="H9" s="17" t="s">
        <v>148</v>
      </c>
      <c r="I9" s="26" t="s">
        <v>240</v>
      </c>
      <c r="J9" s="23" t="s">
        <v>103</v>
      </c>
      <c r="K9" s="43" t="s">
        <v>110</v>
      </c>
      <c r="L9" s="47">
        <f>12*4*2</f>
        <v>96</v>
      </c>
      <c r="M9" s="28" t="s">
        <v>220</v>
      </c>
      <c r="N9" s="25" t="e">
        <f>IF(J9="Y",ROUND(SUMIFS(GenAssumptions!$E:$E,GenAssumptions!$C:$C,$K9)*12/(251*GenAssumptions!#REF!),2),0)</f>
        <v>#REF!</v>
      </c>
      <c r="O9" s="25" t="e">
        <f>IF(J9="Y",ROUND(SUMIFS(GenAssumptions!$E:$E,GenAssumptions!$C:$C,$K9)*12/(251*8)/60*L9*N9,2),0)</f>
        <v>#REF!</v>
      </c>
      <c r="P9" s="51" t="e">
        <f>ROUND(IF($O$5=$P$5,O9,IF($O$5=$Q$5,O9*GenAssumptions!$B$11,IF($O$5=$R$5,O9/GenAssumptions!$B$10,"ошибка в заполнении блока Курсы валют"))),2)</f>
        <v>#REF!</v>
      </c>
      <c r="Q9" s="51" t="e">
        <f>ROUND(P9/GenAssumptions!$B$11,2)</f>
        <v>#REF!</v>
      </c>
      <c r="R9" s="25" t="e">
        <f>ROUND(Q9*GenAssumptions!$B$10,2)</f>
        <v>#REF!</v>
      </c>
    </row>
    <row r="10" spans="2:18" outlineLevel="1" x14ac:dyDescent="0.2">
      <c r="G10" s="21"/>
      <c r="H10" s="17" t="s">
        <v>149</v>
      </c>
      <c r="I10" s="26" t="s">
        <v>196</v>
      </c>
      <c r="J10" s="23" t="s">
        <v>103</v>
      </c>
      <c r="K10" s="43" t="s">
        <v>111</v>
      </c>
      <c r="L10" s="47">
        <f>3*12*4</f>
        <v>144</v>
      </c>
      <c r="M10" s="28" t="s">
        <v>220</v>
      </c>
      <c r="N10" s="25" t="e">
        <f>IF(J10="Y",ROUND(SUMIFS(GenAssumptions!$E:$E,GenAssumptions!$C:$C,$K10)*12/(251*GenAssumptions!#REF!),2),0)</f>
        <v>#REF!</v>
      </c>
      <c r="O10" s="25" t="e">
        <f>IF(J10="Y",ROUND(SUMIFS(GenAssumptions!$E:$E,GenAssumptions!$C:$C,$K10)*12/(251*8)/60*L10*N10,2),0)</f>
        <v>#REF!</v>
      </c>
      <c r="P10" s="51" t="e">
        <f>ROUND(IF($O$5=$P$5,O10,IF($O$5=$Q$5,O10*GenAssumptions!$B$11,IF($O$5=$R$5,O10/GenAssumptions!$B$10,"ошибка в заполнении блока Курсы валют"))),2)</f>
        <v>#REF!</v>
      </c>
      <c r="Q10" s="51" t="e">
        <f>ROUND(P10/GenAssumptions!$B$11,2)</f>
        <v>#REF!</v>
      </c>
      <c r="R10" s="25" t="e">
        <f>ROUND(Q10*GenAssumptions!$B$10,2)</f>
        <v>#REF!</v>
      </c>
    </row>
    <row r="11" spans="2:18" outlineLevel="1" x14ac:dyDescent="0.2">
      <c r="G11" s="21"/>
      <c r="H11" s="17" t="s">
        <v>150</v>
      </c>
      <c r="I11" s="26" t="s">
        <v>196</v>
      </c>
      <c r="J11" s="23" t="s">
        <v>103</v>
      </c>
      <c r="K11" s="43" t="s">
        <v>110</v>
      </c>
      <c r="L11" s="47">
        <f>3*12*4</f>
        <v>144</v>
      </c>
      <c r="M11" s="28" t="s">
        <v>220</v>
      </c>
      <c r="N11" s="25" t="e">
        <f>IF(J11="Y",ROUND(SUMIFS(GenAssumptions!$E:$E,GenAssumptions!$C:$C,$K11)*12/(251*GenAssumptions!#REF!),2),0)</f>
        <v>#REF!</v>
      </c>
      <c r="O11" s="25" t="e">
        <f>IF(J11="Y",ROUND(SUMIFS(GenAssumptions!$E:$E,GenAssumptions!$C:$C,$K11)*12/(251*8)/60*L11*N11,2),0)</f>
        <v>#REF!</v>
      </c>
      <c r="P11" s="51" t="e">
        <f>ROUND(IF($O$5=$P$5,O11,IF($O$5=$Q$5,O11*GenAssumptions!$B$11,IF($O$5=$R$5,O11/GenAssumptions!$B$10,"ошибка в заполнении блока Курсы валют"))),2)</f>
        <v>#REF!</v>
      </c>
      <c r="Q11" s="51" t="e">
        <f>ROUND(P11/GenAssumptions!$B$11,2)</f>
        <v>#REF!</v>
      </c>
      <c r="R11" s="25" t="e">
        <f>ROUND(Q11*GenAssumptions!$B$10,2)</f>
        <v>#REF!</v>
      </c>
    </row>
    <row r="12" spans="2:18" outlineLevel="1" x14ac:dyDescent="0.2">
      <c r="G12" s="21"/>
      <c r="H12" s="17"/>
      <c r="I12" s="26"/>
      <c r="J12" s="23"/>
      <c r="K12" s="24"/>
      <c r="L12" s="47">
        <f>IF(G12="Y",ROUND(I12*K12,2),0)</f>
        <v>0</v>
      </c>
      <c r="M12" s="28"/>
      <c r="N12" s="25">
        <f>IF(J12="Y",ROUND(SUMIFS(GenAssumptions!$E:$E,GenAssumptions!$C:$C,$K12)*12/(251*GenAssumptions!#REF!),2),0)</f>
        <v>0</v>
      </c>
      <c r="O12" s="25">
        <f>IF(J12="Y",ROUND(SUMIFS(GenAssumptions!$E:$E,GenAssumptions!$C:$C,$K12)*12/(251*8)/60*L12*N12,2),0)</f>
        <v>0</v>
      </c>
      <c r="P12" s="51">
        <f>ROUND(IF($O$5=$P$5,O12,IF($O$5=$Q$5,O12*GenAssumptions!$B$11,IF($O$5=$R$5,O12/GenAssumptions!$B$10,"ошибка в заполнении блока Курсы валют"))),2)</f>
        <v>0</v>
      </c>
      <c r="Q12" s="51">
        <f>ROUND(P12/GenAssumptions!$B$11,2)</f>
        <v>0</v>
      </c>
      <c r="R12" s="25">
        <f>ROUND(Q12*GenAssumptions!$B$10,2)</f>
        <v>0</v>
      </c>
    </row>
    <row r="13" spans="2:18" outlineLevel="1" x14ac:dyDescent="0.2">
      <c r="G13" s="21"/>
      <c r="H13" s="17"/>
      <c r="I13" s="26"/>
      <c r="J13" s="23"/>
      <c r="K13" s="24"/>
      <c r="L13" s="47">
        <f>IF(G13="Y",ROUND(I13*K13,2),0)</f>
        <v>0</v>
      </c>
      <c r="M13" s="28"/>
      <c r="N13" s="25">
        <f>IF(J13="Y",ROUND(SUMIFS(GenAssumptions!$E:$E,GenAssumptions!$C:$C,$K13)*12/(251*GenAssumptions!#REF!),2),0)</f>
        <v>0</v>
      </c>
      <c r="O13" s="25">
        <f>IF(J13="Y",ROUND(SUMIFS(GenAssumptions!$E:$E,GenAssumptions!$C:$C,$K13)*12/(251*8)/60*L13*N13,2),0)</f>
        <v>0</v>
      </c>
      <c r="P13" s="51">
        <f>ROUND(IF($O$5=$P$5,O13,IF($O$5=$Q$5,O13*GenAssumptions!$B$11,IF($O$5=$R$5,O13/GenAssumptions!$B$10,"ошибка в заполнении блока Курсы валют"))),2)</f>
        <v>0</v>
      </c>
      <c r="Q13" s="51">
        <f>ROUND(P13/GenAssumptions!$B$11,2)</f>
        <v>0</v>
      </c>
      <c r="R13" s="25">
        <f>ROUND(Q13*GenAssumptions!$B$10,2)</f>
        <v>0</v>
      </c>
    </row>
    <row r="14" spans="2:18" outlineLevel="1" x14ac:dyDescent="0.2"/>
    <row r="15" spans="2:18" outlineLevel="1" x14ac:dyDescent="0.2">
      <c r="G15" s="36"/>
      <c r="H15" s="36" t="s">
        <v>131</v>
      </c>
      <c r="I15" s="37"/>
      <c r="J15" s="38"/>
      <c r="K15" s="39"/>
      <c r="L15" s="39"/>
      <c r="M15" s="39"/>
      <c r="N15" s="39"/>
      <c r="O15" s="40"/>
      <c r="P15" s="40"/>
      <c r="Q15" s="40"/>
      <c r="R15" s="40"/>
    </row>
    <row r="16" spans="2:18" ht="28.5" outlineLevel="1" x14ac:dyDescent="0.2">
      <c r="H16" s="27" t="s">
        <v>198</v>
      </c>
      <c r="I16" s="22" t="s">
        <v>221</v>
      </c>
      <c r="J16" s="23" t="s">
        <v>103</v>
      </c>
      <c r="K16" s="43" t="s">
        <v>110</v>
      </c>
      <c r="L16" s="47" t="e">
        <f>GenAssumptions!#REF!*3</f>
        <v>#REF!</v>
      </c>
      <c r="M16" s="28"/>
      <c r="N16" s="20"/>
      <c r="O16" s="25" t="e">
        <f>IF(J16="Y",ROUND(SUMIFS(GenAssumptions!$E:$E,GenAssumptions!$C:$C,$K16)*12/(251*8)/60*L16*N16,2),0)</f>
        <v>#REF!</v>
      </c>
      <c r="P16" s="25"/>
      <c r="Q16" s="25"/>
      <c r="R16" s="25"/>
    </row>
    <row r="17" spans="7:18" ht="28.5" outlineLevel="1" x14ac:dyDescent="0.2">
      <c r="H17" s="27" t="s">
        <v>198</v>
      </c>
      <c r="I17" s="22" t="s">
        <v>241</v>
      </c>
      <c r="J17" s="23" t="s">
        <v>103</v>
      </c>
      <c r="K17" s="24" t="s">
        <v>111</v>
      </c>
      <c r="L17" s="47" t="e">
        <f>GenAssumptions!#REF!</f>
        <v>#REF!</v>
      </c>
      <c r="M17" s="28"/>
      <c r="N17" s="20"/>
      <c r="O17" s="25" t="e">
        <f>IF(J17="Y",ROUND(SUMIFS(GenAssumptions!$E:$E,GenAssumptions!$C:$C,$K17)*12/(251*8)/60*L17*N17,2),0)</f>
        <v>#REF!</v>
      </c>
      <c r="P17" s="25"/>
      <c r="Q17" s="25"/>
      <c r="R17" s="25"/>
    </row>
    <row r="18" spans="7:18" outlineLevel="1" x14ac:dyDescent="0.2">
      <c r="J18" s="23"/>
      <c r="K18" s="24"/>
      <c r="L18" s="28"/>
      <c r="M18" s="28"/>
      <c r="N18" s="20"/>
      <c r="O18" s="25">
        <f>IF(J18="Y",ROUND(SUMIFS(GenAssumptions!$E:$E,GenAssumptions!$C:$C,$K18)*12/(251*8)/60*L18*N18,2),0)</f>
        <v>0</v>
      </c>
      <c r="P18" s="25"/>
      <c r="Q18" s="25"/>
      <c r="R18" s="25"/>
    </row>
    <row r="19" spans="7:18" outlineLevel="1" x14ac:dyDescent="0.2">
      <c r="G19" s="36"/>
      <c r="H19" s="36" t="s">
        <v>216</v>
      </c>
      <c r="I19" s="37"/>
      <c r="J19" s="38"/>
      <c r="K19" s="39"/>
      <c r="L19" s="39"/>
      <c r="M19" s="39"/>
      <c r="N19" s="39"/>
      <c r="O19" s="40"/>
      <c r="P19" s="40"/>
      <c r="Q19" s="40"/>
      <c r="R19" s="40"/>
    </row>
    <row r="20" spans="7:18" ht="42.75" outlineLevel="1" x14ac:dyDescent="0.2">
      <c r="H20" s="27" t="s">
        <v>217</v>
      </c>
      <c r="J20" s="23" t="s">
        <v>103</v>
      </c>
      <c r="K20" s="24" t="s">
        <v>111</v>
      </c>
      <c r="L20" s="28"/>
      <c r="M20" s="28"/>
      <c r="N20" s="20"/>
      <c r="O20" s="25">
        <f>IF(J20="Y",ROUND(SUMIFS(GenAssumptions!$E:$E,GenAssumptions!$C:$C,$K20)*12/(251*8)/60*L20*N20,2),0)</f>
        <v>0</v>
      </c>
      <c r="P20" s="25"/>
      <c r="Q20" s="25"/>
      <c r="R20" s="25"/>
    </row>
    <row r="21" spans="7:18" outlineLevel="1" x14ac:dyDescent="0.2">
      <c r="J21" s="23" t="s">
        <v>103</v>
      </c>
      <c r="K21" s="24"/>
      <c r="L21" s="28"/>
      <c r="M21" s="28"/>
      <c r="N21" s="20"/>
      <c r="O21" s="25">
        <f>IF(J21="Y",ROUND(SUMIFS(GenAssumptions!$E:$E,GenAssumptions!$C:$C,$K21)*12/(251*8)/60*L21*N21,2),0)</f>
        <v>0</v>
      </c>
      <c r="P21" s="25"/>
      <c r="Q21" s="25"/>
      <c r="R21" s="25"/>
    </row>
    <row r="22" spans="7:18" outlineLevel="1" x14ac:dyDescent="0.2">
      <c r="J22" s="23" t="s">
        <v>103</v>
      </c>
      <c r="K22" s="24"/>
      <c r="L22" s="28"/>
      <c r="M22" s="28"/>
      <c r="N22" s="20"/>
      <c r="O22" s="25">
        <f>IF(J22="Y",ROUND(SUMIFS(GenAssumptions!$E:$E,GenAssumptions!$C:$C,$K22)*12/(251*8)/60*L22*N22,2),0)</f>
        <v>0</v>
      </c>
      <c r="P22" s="25"/>
      <c r="Q22" s="25"/>
      <c r="R22" s="25"/>
    </row>
    <row r="23" spans="7:18" outlineLevel="1" x14ac:dyDescent="0.2">
      <c r="J23" s="23"/>
      <c r="K23" s="24"/>
      <c r="L23" s="28"/>
      <c r="M23" s="28"/>
      <c r="N23" s="20"/>
      <c r="O23" s="25">
        <f>IF(J23="Y",ROUND(SUMIFS(GenAssumptions!$E:$E,GenAssumptions!$C:$C,$K23)*12/(251*8)/60*L23*N23,2),0)</f>
        <v>0</v>
      </c>
      <c r="P23" s="25"/>
      <c r="Q23" s="25"/>
      <c r="R23" s="25"/>
    </row>
    <row r="24" spans="7:18" outlineLevel="1" x14ac:dyDescent="0.2">
      <c r="J24" s="23"/>
      <c r="K24" s="24"/>
      <c r="L24" s="28"/>
      <c r="M24" s="28"/>
      <c r="N24" s="20"/>
      <c r="O24" s="25">
        <f>IF(J24="Y",ROUND(SUMIFS(GenAssumptions!$E:$E,GenAssumptions!$C:$C,$K24)*12/(251*8)/60*L24*N24,2),0)</f>
        <v>0</v>
      </c>
      <c r="P24" s="25"/>
      <c r="Q24" s="25"/>
      <c r="R24" s="25"/>
    </row>
    <row r="25" spans="7:18" outlineLevel="1" x14ac:dyDescent="0.2">
      <c r="J25" s="23"/>
      <c r="K25" s="24"/>
      <c r="L25" s="28"/>
      <c r="M25" s="28"/>
      <c r="N25" s="20"/>
      <c r="O25" s="25">
        <f>IF(J25="Y",ROUND(SUMIFS(GenAssumptions!$E:$E,GenAssumptions!$C:$C,$K25)*12/(251*8)/60*L25*N25,2),0)</f>
        <v>0</v>
      </c>
      <c r="P25" s="25"/>
      <c r="Q25" s="25"/>
      <c r="R25" s="25"/>
    </row>
    <row r="26" spans="7:18" outlineLevel="1" x14ac:dyDescent="0.2">
      <c r="J26" s="23"/>
      <c r="K26" s="24"/>
      <c r="L26" s="28"/>
      <c r="M26" s="28"/>
      <c r="N26" s="20"/>
      <c r="O26" s="25">
        <f>IF(J26="Y",ROUND(SUMIFS(GenAssumptions!$E:$E,GenAssumptions!$C:$C,$K26)*12/(251*8)/60*L26*N26,2),0)</f>
        <v>0</v>
      </c>
      <c r="P26" s="25"/>
      <c r="Q26" s="25"/>
      <c r="R26" s="25"/>
    </row>
    <row r="27" spans="7:18" x14ac:dyDescent="0.2">
      <c r="G27" s="36"/>
      <c r="H27" s="36" t="s">
        <v>224</v>
      </c>
      <c r="I27" s="37"/>
      <c r="J27" s="38"/>
      <c r="K27" s="39"/>
      <c r="L27" s="39"/>
      <c r="M27" s="39"/>
      <c r="N27" s="39"/>
      <c r="O27" s="40"/>
      <c r="P27" s="40"/>
      <c r="Q27" s="40"/>
      <c r="R27" s="40"/>
    </row>
    <row r="28" spans="7:18" x14ac:dyDescent="0.2">
      <c r="H28" s="27" t="s">
        <v>216</v>
      </c>
      <c r="J28" s="23" t="s">
        <v>103</v>
      </c>
      <c r="K28" s="24" t="s">
        <v>111</v>
      </c>
      <c r="L28" s="47">
        <v>12</v>
      </c>
      <c r="M28" s="28" t="s">
        <v>228</v>
      </c>
      <c r="N28" s="25">
        <f>IF(J28="Y",ROUND(SUMIFS(GenAssumptions!$E:$E,GenAssumptions!$C:$C,$K28),2),0)</f>
        <v>0</v>
      </c>
      <c r="O28" s="25">
        <f>IF(J28="Y",L28*N28,0)</f>
        <v>0</v>
      </c>
      <c r="P28" s="51">
        <f>ROUND(IF($O$5=$P$5,O28,IF($O$5=$Q$5,O28*GenAssumptions!$B$11,IF($O$5=$R$5,O28/GenAssumptions!$B$10,"ошибка в заполнении блока Курсы валют"))),2)</f>
        <v>0</v>
      </c>
      <c r="Q28" s="51">
        <f>ROUND(P28/GenAssumptions!$B$11,2)</f>
        <v>0</v>
      </c>
      <c r="R28" s="25">
        <f>ROUND(Q28*GenAssumptions!$B$10,2)</f>
        <v>0</v>
      </c>
    </row>
    <row r="29" spans="7:18" x14ac:dyDescent="0.2">
      <c r="H29" s="27" t="s">
        <v>131</v>
      </c>
      <c r="J29" s="23" t="s">
        <v>103</v>
      </c>
      <c r="K29" s="24" t="s">
        <v>110</v>
      </c>
      <c r="L29" s="47">
        <v>12</v>
      </c>
      <c r="M29" s="28" t="s">
        <v>228</v>
      </c>
      <c r="N29" s="25">
        <f>IF(J29="Y",ROUND(SUMIFS(GenAssumptions!$E:$E,GenAssumptions!$C:$C,$K29),2),0)</f>
        <v>0</v>
      </c>
      <c r="O29" s="25">
        <f t="shared" ref="O29:O36" si="0">IF(J29="Y",L29*N29,0)</f>
        <v>0</v>
      </c>
      <c r="P29" s="51">
        <f>ROUND(IF($O$5=$P$5,O29,IF($O$5=$Q$5,O29*GenAssumptions!$B$11,IF($O$5=$R$5,O29/GenAssumptions!$B$10,"ошибка в заполнении блока Курсы валют"))),2)</f>
        <v>0</v>
      </c>
      <c r="Q29" s="51">
        <f>ROUND(P29/GenAssumptions!$B$11,2)</f>
        <v>0</v>
      </c>
      <c r="R29" s="25">
        <f>ROUND(Q29*GenAssumptions!$B$10,2)</f>
        <v>0</v>
      </c>
    </row>
    <row r="30" spans="7:18" ht="28.5" x14ac:dyDescent="0.2">
      <c r="H30" s="27" t="s">
        <v>239</v>
      </c>
      <c r="J30" s="23"/>
      <c r="K30" s="24"/>
      <c r="L30" s="47"/>
      <c r="M30" s="28"/>
      <c r="N30" s="25"/>
      <c r="O30" s="25"/>
      <c r="P30" s="51"/>
      <c r="Q30" s="51"/>
      <c r="R30" s="25"/>
    </row>
    <row r="31" spans="7:18" x14ac:dyDescent="0.2">
      <c r="J31" s="23"/>
      <c r="K31" s="24"/>
      <c r="L31" s="47"/>
      <c r="M31" s="28"/>
      <c r="N31" s="25"/>
      <c r="O31" s="25"/>
      <c r="P31" s="51"/>
      <c r="Q31" s="51"/>
      <c r="R31" s="25"/>
    </row>
    <row r="32" spans="7:18" x14ac:dyDescent="0.2">
      <c r="H32" s="17"/>
      <c r="J32" s="23" t="s">
        <v>103</v>
      </c>
      <c r="K32" s="24" t="s">
        <v>151</v>
      </c>
      <c r="L32" s="47">
        <v>12</v>
      </c>
      <c r="M32" s="28" t="s">
        <v>228</v>
      </c>
      <c r="N32" s="25">
        <f>IF(J32="Y",ROUND(SUMIFS(GenAssumptions!$E:$E,GenAssumptions!$C:$C,$K32),2),0)</f>
        <v>0</v>
      </c>
      <c r="O32" s="25">
        <f t="shared" si="0"/>
        <v>0</v>
      </c>
      <c r="P32" s="51">
        <f>ROUND(IF($O$5=$P$5,O32,IF($O$5=$Q$5,O32*GenAssumptions!$B$11,IF($O$5=$R$5,O32/GenAssumptions!$B$10,"ошибка в заполнении блока Курсы валют"))),2)</f>
        <v>0</v>
      </c>
      <c r="Q32" s="51">
        <f>ROUND(P32/GenAssumptions!$B$11,2)</f>
        <v>0</v>
      </c>
      <c r="R32" s="25">
        <f>ROUND(Q32*GenAssumptions!$B$10,2)</f>
        <v>0</v>
      </c>
    </row>
    <row r="33" spans="7:18" x14ac:dyDescent="0.2">
      <c r="J33" s="23" t="s">
        <v>103</v>
      </c>
      <c r="K33" s="24" t="s">
        <v>152</v>
      </c>
      <c r="L33" s="47">
        <v>12</v>
      </c>
      <c r="M33" s="28" t="s">
        <v>228</v>
      </c>
      <c r="N33" s="25">
        <f>IF(J33="Y",ROUND(SUMIFS(GenAssumptions!$E:$E,GenAssumptions!$C:$C,$K33),2),0)</f>
        <v>0</v>
      </c>
      <c r="O33" s="25">
        <f t="shared" si="0"/>
        <v>0</v>
      </c>
      <c r="P33" s="51">
        <f>ROUND(IF($O$5=$P$5,O33,IF($O$5=$Q$5,O33*GenAssumptions!$B$11,IF($O$5=$R$5,O33/GenAssumptions!$B$10,"ошибка в заполнении блока Курсы валют"))),2)</f>
        <v>0</v>
      </c>
      <c r="Q33" s="51">
        <f>ROUND(P33/GenAssumptions!$B$11,2)</f>
        <v>0</v>
      </c>
      <c r="R33" s="25">
        <f>ROUND(Q33*GenAssumptions!$B$10,2)</f>
        <v>0</v>
      </c>
    </row>
    <row r="34" spans="7:18" x14ac:dyDescent="0.2">
      <c r="J34" s="23" t="s">
        <v>103</v>
      </c>
      <c r="K34" s="24" t="s">
        <v>225</v>
      </c>
      <c r="L34" s="47">
        <v>12</v>
      </c>
      <c r="M34" s="28" t="s">
        <v>228</v>
      </c>
      <c r="N34" s="25">
        <f>IF(J34="Y",ROUND(SUMIFS(GenAssumptions!$E:$E,GenAssumptions!$C:$C,$K34),2),0)</f>
        <v>0</v>
      </c>
      <c r="O34" s="25">
        <f t="shared" si="0"/>
        <v>0</v>
      </c>
      <c r="P34" s="51">
        <f>ROUND(IF($O$5=$P$5,O34,IF($O$5=$Q$5,O34*GenAssumptions!$B$11,IF($O$5=$R$5,O34/GenAssumptions!$B$10,"ошибка в заполнении блока Курсы валют"))),2)</f>
        <v>0</v>
      </c>
      <c r="Q34" s="51">
        <f>ROUND(P34/GenAssumptions!$B$11,2)</f>
        <v>0</v>
      </c>
      <c r="R34" s="25">
        <f>ROUND(Q34*GenAssumptions!$B$10,2)</f>
        <v>0</v>
      </c>
    </row>
    <row r="35" spans="7:18" x14ac:dyDescent="0.2">
      <c r="J35" s="23" t="s">
        <v>103</v>
      </c>
      <c r="K35" s="24" t="s">
        <v>155</v>
      </c>
      <c r="L35" s="47">
        <v>12</v>
      </c>
      <c r="M35" s="28" t="s">
        <v>228</v>
      </c>
      <c r="N35" s="25">
        <f>IF(J35="Y",ROUND(SUMIFS(GenAssumptions!$E:$E,GenAssumptions!$C:$C,$K35),2),0)</f>
        <v>622.26</v>
      </c>
      <c r="O35" s="25">
        <f t="shared" si="0"/>
        <v>7467.12</v>
      </c>
      <c r="P35" s="51">
        <f>ROUND(IF($O$5=$P$5,O35,IF($O$5=$Q$5,O35*GenAssumptions!$B$11,IF($O$5=$R$5,O35/GenAssumptions!$B$10,"ошибка в заполнении блока Курсы валют"))),2)</f>
        <v>7467.12</v>
      </c>
      <c r="Q35" s="51">
        <f>ROUND(P35/GenAssumptions!$B$11,2)</f>
        <v>5572.48</v>
      </c>
      <c r="R35" s="25">
        <f>ROUND(Q35*GenAssumptions!$B$10,2)</f>
        <v>390073.59999999998</v>
      </c>
    </row>
    <row r="36" spans="7:18" x14ac:dyDescent="0.2">
      <c r="J36" s="23"/>
      <c r="K36" s="24"/>
      <c r="L36" s="47">
        <v>12</v>
      </c>
      <c r="M36" s="28" t="s">
        <v>228</v>
      </c>
      <c r="N36" s="25">
        <f>IF(J36="Y",ROUND(SUMIFS(GenAssumptions!$E:$E,GenAssumptions!$C:$C,$K36),2),0)</f>
        <v>0</v>
      </c>
      <c r="O36" s="25">
        <f t="shared" si="0"/>
        <v>0</v>
      </c>
      <c r="P36" s="51">
        <f>ROUND(IF($O$5=$P$5,O36,IF($O$5=$Q$5,O36*GenAssumptions!$B$11,IF($O$5=$R$5,O36/GenAssumptions!$B$10,"ошибка в заполнении блока Курсы валют"))),2)</f>
        <v>0</v>
      </c>
      <c r="Q36" s="51">
        <f>ROUND(P36/GenAssumptions!$B$11,2)</f>
        <v>0</v>
      </c>
      <c r="R36" s="25">
        <f>ROUND(Q36*GenAssumptions!$B$10,2)</f>
        <v>0</v>
      </c>
    </row>
    <row r="37" spans="7:18" x14ac:dyDescent="0.2">
      <c r="G37" s="36"/>
      <c r="H37" s="36" t="s">
        <v>222</v>
      </c>
      <c r="I37" s="37"/>
      <c r="J37" s="38"/>
      <c r="K37" s="39"/>
      <c r="L37" s="39"/>
      <c r="M37" s="39"/>
      <c r="N37" s="39"/>
      <c r="O37" s="40"/>
      <c r="P37" s="40"/>
      <c r="Q37" s="40"/>
      <c r="R37" s="40"/>
    </row>
    <row r="38" spans="7:18" ht="42.75" x14ac:dyDescent="0.2">
      <c r="H38" s="44" t="s">
        <v>226</v>
      </c>
      <c r="I38" s="22" t="s">
        <v>229</v>
      </c>
      <c r="J38" s="23" t="s">
        <v>103</v>
      </c>
      <c r="L38" s="47">
        <f>12*1200/100*20</f>
        <v>2880</v>
      </c>
      <c r="M38" s="17" t="s">
        <v>230</v>
      </c>
      <c r="N38" s="55">
        <v>1.4</v>
      </c>
      <c r="O38" s="25">
        <f t="shared" ref="O38:O56" si="1">IF(J38="Y",L38*N38,0)</f>
        <v>4031.9999999999995</v>
      </c>
      <c r="P38" s="51">
        <f>ROUND(IF($O$5=$P$5,O38,IF($O$5=$Q$5,O38*GenAssumptions!$B$11,IF($O$5=$R$5,O38/GenAssumptions!$B$10,"ошибка в заполнении блока Курсы валют"))),2)</f>
        <v>4032</v>
      </c>
      <c r="Q38" s="51">
        <f>ROUND(P38/GenAssumptions!$B$11,2)</f>
        <v>3008.96</v>
      </c>
      <c r="R38" s="25">
        <f>ROUND(Q38*GenAssumptions!$B$10,2)</f>
        <v>210627.20000000001</v>
      </c>
    </row>
    <row r="39" spans="7:18" x14ac:dyDescent="0.2">
      <c r="H39" s="27" t="s">
        <v>227</v>
      </c>
      <c r="J39" s="23" t="s">
        <v>103</v>
      </c>
      <c r="L39" s="47">
        <v>365</v>
      </c>
      <c r="M39" s="17" t="s">
        <v>231</v>
      </c>
      <c r="N39" s="47">
        <v>5</v>
      </c>
      <c r="O39" s="25">
        <f t="shared" si="1"/>
        <v>1825</v>
      </c>
      <c r="P39" s="51">
        <f>ROUND(IF($O$5=$P$5,O39,IF($O$5=$Q$5,O39*GenAssumptions!$B$11,IF($O$5=$R$5,O39/GenAssumptions!$B$10,"ошибка в заполнении блока Курсы валют"))),2)</f>
        <v>1825</v>
      </c>
      <c r="Q39" s="51">
        <f>ROUND(P39/GenAssumptions!$B$11,2)</f>
        <v>1361.94</v>
      </c>
      <c r="R39" s="25">
        <f>ROUND(Q39*GenAssumptions!$B$10,2)</f>
        <v>95335.8</v>
      </c>
    </row>
    <row r="40" spans="7:18" x14ac:dyDescent="0.2">
      <c r="H40" s="27" t="s">
        <v>232</v>
      </c>
      <c r="J40" s="23" t="s">
        <v>103</v>
      </c>
      <c r="L40" s="47">
        <v>1</v>
      </c>
      <c r="M40" s="17" t="s">
        <v>233</v>
      </c>
      <c r="N40" s="47">
        <v>1000</v>
      </c>
      <c r="O40" s="25">
        <f t="shared" si="1"/>
        <v>1000</v>
      </c>
      <c r="P40" s="51">
        <f>ROUND(IF($O$5=$P$5,O40,IF($O$5=$Q$5,O40*GenAssumptions!$B$11,IF($O$5=$R$5,O40/GenAssumptions!$B$10,"ошибка в заполнении блока Курсы валют"))),2)</f>
        <v>1000</v>
      </c>
      <c r="Q40" s="51">
        <f>ROUND(P40/GenAssumptions!$B$11,2)</f>
        <v>746.27</v>
      </c>
      <c r="R40" s="25">
        <f>ROUND(Q40*GenAssumptions!$B$10,2)</f>
        <v>52238.9</v>
      </c>
    </row>
    <row r="41" spans="7:18" x14ac:dyDescent="0.2">
      <c r="H41" s="27" t="s">
        <v>234</v>
      </c>
      <c r="J41" s="23" t="s">
        <v>103</v>
      </c>
      <c r="L41" s="47">
        <v>12</v>
      </c>
      <c r="M41" s="17" t="s">
        <v>228</v>
      </c>
      <c r="N41" s="47">
        <v>250</v>
      </c>
      <c r="O41" s="25">
        <f t="shared" si="1"/>
        <v>3000</v>
      </c>
      <c r="P41" s="51">
        <f>ROUND(IF($O$5=$P$5,O41,IF($O$5=$Q$5,O41*GenAssumptions!$B$11,IF($O$5=$R$5,O41/GenAssumptions!$B$10,"ошибка в заполнении блока Курсы валют"))),2)</f>
        <v>3000</v>
      </c>
      <c r="Q41" s="51">
        <f>ROUND(P41/GenAssumptions!$B$11,2)</f>
        <v>2238.81</v>
      </c>
      <c r="R41" s="25">
        <f>ROUND(Q41*GenAssumptions!$B$10,2)</f>
        <v>156716.70000000001</v>
      </c>
    </row>
    <row r="42" spans="7:18" x14ac:dyDescent="0.2">
      <c r="G42" s="36"/>
      <c r="H42" s="36" t="s">
        <v>242</v>
      </c>
      <c r="I42" s="37"/>
      <c r="J42" s="38"/>
      <c r="K42" s="39"/>
      <c r="L42" s="39"/>
      <c r="M42" s="39"/>
      <c r="N42" s="39"/>
      <c r="O42" s="40"/>
      <c r="P42" s="40"/>
      <c r="Q42" s="40"/>
      <c r="R42" s="40"/>
    </row>
    <row r="43" spans="7:18" x14ac:dyDescent="0.2">
      <c r="H43" s="27" t="s">
        <v>250</v>
      </c>
      <c r="J43" s="23" t="s">
        <v>103</v>
      </c>
      <c r="L43" s="47">
        <v>12</v>
      </c>
      <c r="M43" s="17" t="s">
        <v>228</v>
      </c>
      <c r="N43" s="47">
        <v>800</v>
      </c>
      <c r="O43" s="25">
        <f t="shared" si="1"/>
        <v>9600</v>
      </c>
      <c r="P43" s="51">
        <f>ROUND(IF($O$5=$P$5,O43,IF($O$5=$Q$5,O43*GenAssumptions!$B$11,IF($O$5=$R$5,O43/GenAssumptions!$B$10,"ошибка в заполнении блока Курсы валют"))),2)</f>
        <v>9600</v>
      </c>
      <c r="Q43" s="51">
        <f>ROUND(P43/GenAssumptions!$B$11,2)</f>
        <v>7164.18</v>
      </c>
      <c r="R43" s="25">
        <f>ROUND(Q43*GenAssumptions!$B$10,2)</f>
        <v>501492.6</v>
      </c>
    </row>
    <row r="44" spans="7:18" x14ac:dyDescent="0.2">
      <c r="H44" s="27" t="s">
        <v>243</v>
      </c>
      <c r="J44" s="23" t="s">
        <v>103</v>
      </c>
      <c r="L44" s="47">
        <v>12</v>
      </c>
      <c r="M44" s="17" t="s">
        <v>228</v>
      </c>
      <c r="N44" s="47">
        <f>20%*700</f>
        <v>140</v>
      </c>
      <c r="O44" s="25">
        <f t="shared" si="1"/>
        <v>1680</v>
      </c>
      <c r="P44" s="51">
        <f>ROUND(IF($O$5=$P$5,O44,IF($O$5=$Q$5,O44*GenAssumptions!$B$11,IF($O$5=$R$5,O44/GenAssumptions!$B$10,"ошибка в заполнении блока Курсы валют"))),2)</f>
        <v>1680</v>
      </c>
      <c r="Q44" s="51">
        <f>ROUND(P44/GenAssumptions!$B$11,2)</f>
        <v>1253.73</v>
      </c>
      <c r="R44" s="25">
        <f>ROUND(Q44*GenAssumptions!$B$10,2)</f>
        <v>87761.1</v>
      </c>
    </row>
    <row r="45" spans="7:18" x14ac:dyDescent="0.2">
      <c r="H45" s="27" t="s">
        <v>244</v>
      </c>
      <c r="J45" s="23" t="s">
        <v>103</v>
      </c>
      <c r="L45" s="47">
        <v>12</v>
      </c>
      <c r="M45" s="17" t="s">
        <v>228</v>
      </c>
      <c r="N45" s="47">
        <v>150</v>
      </c>
      <c r="O45" s="25">
        <f t="shared" si="1"/>
        <v>1800</v>
      </c>
      <c r="P45" s="51">
        <f>ROUND(IF($O$5=$P$5,O45,IF($O$5=$Q$5,O45*GenAssumptions!$B$11,IF($O$5=$R$5,O45/GenAssumptions!$B$10,"ошибка в заполнении блока Курсы валют"))),2)</f>
        <v>1800</v>
      </c>
      <c r="Q45" s="51">
        <f>ROUND(P45/GenAssumptions!$B$11,2)</f>
        <v>1343.28</v>
      </c>
      <c r="R45" s="25">
        <f>ROUND(Q45*GenAssumptions!$B$10,2)</f>
        <v>94029.6</v>
      </c>
    </row>
    <row r="46" spans="7:18" ht="28.5" x14ac:dyDescent="0.2">
      <c r="H46" s="27" t="s">
        <v>245</v>
      </c>
      <c r="J46" s="23" t="s">
        <v>103</v>
      </c>
      <c r="L46" s="47">
        <v>12</v>
      </c>
      <c r="M46" s="17" t="s">
        <v>228</v>
      </c>
      <c r="N46" s="47">
        <v>500</v>
      </c>
      <c r="O46" s="25">
        <f t="shared" si="1"/>
        <v>6000</v>
      </c>
      <c r="P46" s="51">
        <f>ROUND(IF($O$5=$P$5,O46,IF($O$5=$Q$5,O46*GenAssumptions!$B$11,IF($O$5=$R$5,O46/GenAssumptions!$B$10,"ошибка в заполнении блока Курсы валют"))),2)</f>
        <v>6000</v>
      </c>
      <c r="Q46" s="51">
        <f>ROUND(P46/GenAssumptions!$B$11,2)</f>
        <v>4477.6099999999997</v>
      </c>
      <c r="R46" s="25">
        <f>ROUND(Q46*GenAssumptions!$B$10,2)</f>
        <v>313432.7</v>
      </c>
    </row>
    <row r="47" spans="7:18" x14ac:dyDescent="0.2">
      <c r="H47" s="27" t="s">
        <v>246</v>
      </c>
      <c r="J47" s="23" t="s">
        <v>103</v>
      </c>
      <c r="L47" s="47">
        <v>12</v>
      </c>
      <c r="M47" s="17" t="s">
        <v>228</v>
      </c>
      <c r="N47" s="47">
        <v>200</v>
      </c>
      <c r="O47" s="25">
        <f t="shared" si="1"/>
        <v>2400</v>
      </c>
      <c r="P47" s="51">
        <f>ROUND(IF($O$5=$P$5,O47,IF($O$5=$Q$5,O47*GenAssumptions!$B$11,IF($O$5=$R$5,O47/GenAssumptions!$B$10,"ошибка в заполнении блока Курсы валют"))),2)</f>
        <v>2400</v>
      </c>
      <c r="Q47" s="51">
        <f>ROUND(P47/GenAssumptions!$B$11,2)</f>
        <v>1791.04</v>
      </c>
      <c r="R47" s="25">
        <f>ROUND(Q47*GenAssumptions!$B$10,2)</f>
        <v>125372.8</v>
      </c>
    </row>
    <row r="48" spans="7:18" x14ac:dyDescent="0.2">
      <c r="H48" s="27" t="s">
        <v>247</v>
      </c>
      <c r="J48" s="23" t="s">
        <v>103</v>
      </c>
      <c r="L48" s="47">
        <v>12</v>
      </c>
      <c r="M48" s="17" t="s">
        <v>228</v>
      </c>
      <c r="N48" s="47">
        <v>60</v>
      </c>
      <c r="O48" s="25">
        <f t="shared" si="1"/>
        <v>720</v>
      </c>
      <c r="P48" s="51">
        <f>ROUND(IF($O$5=$P$5,O48,IF($O$5=$Q$5,O48*GenAssumptions!$B$11,IF($O$5=$R$5,O48/GenAssumptions!$B$10,"ошибка в заполнении блока Курсы валют"))),2)</f>
        <v>720</v>
      </c>
      <c r="Q48" s="51">
        <f>ROUND(P48/GenAssumptions!$B$11,2)</f>
        <v>537.30999999999995</v>
      </c>
      <c r="R48" s="25">
        <f>ROUND(Q48*GenAssumptions!$B$10,2)</f>
        <v>37611.699999999997</v>
      </c>
    </row>
    <row r="49" spans="8:18" x14ac:dyDescent="0.2">
      <c r="H49" s="27" t="s">
        <v>249</v>
      </c>
      <c r="J49" s="23" t="s">
        <v>103</v>
      </c>
      <c r="L49" s="47">
        <v>12</v>
      </c>
      <c r="M49" s="17" t="s">
        <v>228</v>
      </c>
      <c r="N49" s="47">
        <v>100</v>
      </c>
      <c r="O49" s="25">
        <f t="shared" si="1"/>
        <v>1200</v>
      </c>
      <c r="P49" s="51">
        <f>ROUND(IF($O$5=$P$5,O49,IF($O$5=$Q$5,O49*GenAssumptions!$B$11,IF($O$5=$R$5,O49/GenAssumptions!$B$10,"ошибка в заполнении блока Курсы валют"))),2)</f>
        <v>1200</v>
      </c>
      <c r="Q49" s="51">
        <f>ROUND(P49/GenAssumptions!$B$11,2)</f>
        <v>895.52</v>
      </c>
      <c r="R49" s="25">
        <f>ROUND(Q49*GenAssumptions!$B$10,2)</f>
        <v>62686.400000000001</v>
      </c>
    </row>
    <row r="50" spans="8:18" x14ac:dyDescent="0.2">
      <c r="H50" s="27" t="s">
        <v>248</v>
      </c>
      <c r="J50" s="23" t="s">
        <v>103</v>
      </c>
      <c r="L50" s="47">
        <v>12</v>
      </c>
      <c r="M50" s="17" t="s">
        <v>228</v>
      </c>
      <c r="N50" s="47">
        <v>50</v>
      </c>
      <c r="O50" s="25">
        <f t="shared" si="1"/>
        <v>600</v>
      </c>
      <c r="P50" s="51">
        <f>ROUND(IF($O$5=$P$5,O50,IF($O$5=$Q$5,O50*GenAssumptions!$B$11,IF($O$5=$R$5,O50/GenAssumptions!$B$10,"ошибка в заполнении блока Курсы валют"))),2)</f>
        <v>600</v>
      </c>
      <c r="Q50" s="51">
        <f>ROUND(P50/GenAssumptions!$B$11,2)</f>
        <v>447.76</v>
      </c>
      <c r="R50" s="25">
        <f>ROUND(Q50*GenAssumptions!$B$10,2)</f>
        <v>31343.200000000001</v>
      </c>
    </row>
    <row r="51" spans="8:18" x14ac:dyDescent="0.2">
      <c r="H51" s="27" t="s">
        <v>251</v>
      </c>
      <c r="J51" s="23" t="s">
        <v>103</v>
      </c>
      <c r="L51" s="47">
        <v>12</v>
      </c>
      <c r="M51" s="17" t="s">
        <v>228</v>
      </c>
      <c r="N51" s="47">
        <v>180</v>
      </c>
      <c r="O51" s="25">
        <f t="shared" si="1"/>
        <v>2160</v>
      </c>
      <c r="P51" s="51">
        <f>ROUND(IF($O$5=$P$5,O51,IF($O$5=$Q$5,O51*GenAssumptions!$B$11,IF($O$5=$R$5,O51/GenAssumptions!$B$10,"ошибка в заполнении блока Курсы валют"))),2)</f>
        <v>2160</v>
      </c>
      <c r="Q51" s="51">
        <f>ROUND(P51/GenAssumptions!$B$11,2)</f>
        <v>1611.94</v>
      </c>
      <c r="R51" s="25">
        <f>ROUND(Q51*GenAssumptions!$B$10,2)</f>
        <v>112835.8</v>
      </c>
    </row>
    <row r="52" spans="8:18" x14ac:dyDescent="0.2">
      <c r="J52" s="23" t="s">
        <v>103</v>
      </c>
      <c r="L52" s="47">
        <v>12</v>
      </c>
      <c r="M52" s="17" t="s">
        <v>228</v>
      </c>
      <c r="N52" s="47"/>
      <c r="O52" s="25">
        <f t="shared" si="1"/>
        <v>0</v>
      </c>
      <c r="P52" s="51">
        <f>ROUND(IF($O$5=$P$5,O52,IF($O$5=$Q$5,O52*GenAssumptions!$B$11,IF($O$5=$R$5,O52/GenAssumptions!$B$10,"ошибка в заполнении блока Курсы валют"))),2)</f>
        <v>0</v>
      </c>
      <c r="Q52" s="51">
        <f>ROUND(P52/GenAssumptions!$B$11,2)</f>
        <v>0</v>
      </c>
      <c r="R52" s="25">
        <f>ROUND(Q52*GenAssumptions!$B$10,2)</f>
        <v>0</v>
      </c>
    </row>
    <row r="53" spans="8:18" x14ac:dyDescent="0.2">
      <c r="J53" s="23" t="s">
        <v>103</v>
      </c>
      <c r="L53" s="47">
        <v>12</v>
      </c>
      <c r="M53" s="17" t="s">
        <v>228</v>
      </c>
      <c r="N53" s="47"/>
      <c r="O53" s="25">
        <f t="shared" si="1"/>
        <v>0</v>
      </c>
      <c r="P53" s="51">
        <f>ROUND(IF($O$5=$P$5,O53,IF($O$5=$Q$5,O53*GenAssumptions!$B$11,IF($O$5=$R$5,O53/GenAssumptions!$B$10,"ошибка в заполнении блока Курсы валют"))),2)</f>
        <v>0</v>
      </c>
      <c r="Q53" s="51">
        <f>ROUND(P53/GenAssumptions!$B$11,2)</f>
        <v>0</v>
      </c>
      <c r="R53" s="25">
        <f>ROUND(Q53*GenAssumptions!$B$10,2)</f>
        <v>0</v>
      </c>
    </row>
    <row r="54" spans="8:18" x14ac:dyDescent="0.2">
      <c r="J54" s="23" t="s">
        <v>103</v>
      </c>
      <c r="L54" s="47">
        <v>12</v>
      </c>
      <c r="M54" s="17" t="s">
        <v>228</v>
      </c>
      <c r="N54" s="47"/>
      <c r="O54" s="25">
        <f t="shared" si="1"/>
        <v>0</v>
      </c>
      <c r="P54" s="51">
        <f>ROUND(IF($O$5=$P$5,O54,IF($O$5=$Q$5,O54*GenAssumptions!$B$11,IF($O$5=$R$5,O54/GenAssumptions!$B$10,"ошибка в заполнении блока Курсы валют"))),2)</f>
        <v>0</v>
      </c>
      <c r="Q54" s="51">
        <f>ROUND(P54/GenAssumptions!$B$11,2)</f>
        <v>0</v>
      </c>
      <c r="R54" s="25">
        <f>ROUND(Q54*GenAssumptions!$B$10,2)</f>
        <v>0</v>
      </c>
    </row>
    <row r="55" spans="8:18" x14ac:dyDescent="0.2">
      <c r="J55" s="23" t="s">
        <v>103</v>
      </c>
      <c r="L55" s="47">
        <v>12</v>
      </c>
      <c r="M55" s="17" t="s">
        <v>228</v>
      </c>
      <c r="N55" s="47"/>
      <c r="O55" s="25">
        <f t="shared" si="1"/>
        <v>0</v>
      </c>
      <c r="P55" s="51">
        <f>ROUND(IF($O$5=$P$5,O55,IF($O$5=$Q$5,O55*GenAssumptions!$B$11,IF($O$5=$R$5,O55/GenAssumptions!$B$10,"ошибка в заполнении блока Курсы валют"))),2)</f>
        <v>0</v>
      </c>
      <c r="Q55" s="51">
        <f>ROUND(P55/GenAssumptions!$B$11,2)</f>
        <v>0</v>
      </c>
      <c r="R55" s="25">
        <f>ROUND(Q55*GenAssumptions!$B$10,2)</f>
        <v>0</v>
      </c>
    </row>
    <row r="56" spans="8:18" x14ac:dyDescent="0.2">
      <c r="J56" s="23" t="s">
        <v>103</v>
      </c>
      <c r="L56" s="47">
        <v>12</v>
      </c>
      <c r="M56" s="17" t="s">
        <v>228</v>
      </c>
      <c r="N56" s="47"/>
      <c r="O56" s="25">
        <f t="shared" si="1"/>
        <v>0</v>
      </c>
      <c r="P56" s="51">
        <f>ROUND(IF($O$5=$P$5,O56,IF($O$5=$Q$5,O56*GenAssumptions!$B$11,IF($O$5=$R$5,O56/GenAssumptions!$B$10,"ошибка в заполнении блока Курсы валют"))),2)</f>
        <v>0</v>
      </c>
      <c r="Q56" s="51">
        <f>ROUND(P56/GenAssumptions!$B$11,2)</f>
        <v>0</v>
      </c>
      <c r="R56" s="25">
        <f>ROUND(Q56*GenAssumptions!$B$10,2)</f>
        <v>0</v>
      </c>
    </row>
  </sheetData>
  <autoFilter ref="A4:R15" xr:uid="{00000000-0009-0000-0000-000005000000}"/>
  <dataValidations count="2">
    <dataValidation type="list" allowBlank="1" showInputMessage="1" showErrorMessage="1" sqref="K28:K36 K8:K13 K20:K26 K16:K18" xr:uid="{00000000-0002-0000-0500-000000000000}">
      <formula1>Staff</formula1>
    </dataValidation>
    <dataValidation type="list" showInputMessage="1" showErrorMessage="1" promptTitle="Выберете из списка" prompt="Y - услуга предоставляется;_x000a_N - не предоставляется" sqref="J28:J36 J8:J13 J20:J26 J16:J18 J38:J41 J43:J56" xr:uid="{00000000-0002-0000-0500-000001000000}">
      <formula1>YN</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B1:I122"/>
  <sheetViews>
    <sheetView workbookViewId="0">
      <pane xSplit="2" ySplit="4" topLeftCell="C95" activePane="bottomRight" state="frozen"/>
      <selection pane="topRight" activeCell="C1" sqref="C1"/>
      <selection pane="bottomLeft" activeCell="A5" sqref="A5"/>
      <selection pane="bottomRight" activeCell="F101" sqref="F101:F103"/>
    </sheetView>
  </sheetViews>
  <sheetFormatPr defaultColWidth="11.42578125" defaultRowHeight="15" x14ac:dyDescent="0.25"/>
  <cols>
    <col min="2" max="2" width="21.140625" customWidth="1"/>
  </cols>
  <sheetData>
    <row r="1" spans="2:6" x14ac:dyDescent="0.25">
      <c r="B1" s="1" t="s">
        <v>27</v>
      </c>
    </row>
    <row r="2" spans="2:6" x14ac:dyDescent="0.25">
      <c r="B2" s="1" t="s">
        <v>28</v>
      </c>
    </row>
    <row r="3" spans="2:6" x14ac:dyDescent="0.25">
      <c r="B3" s="1"/>
    </row>
    <row r="4" spans="2:6" x14ac:dyDescent="0.25">
      <c r="E4" t="s">
        <v>30</v>
      </c>
      <c r="F4" t="s">
        <v>31</v>
      </c>
    </row>
    <row r="5" spans="2:6" x14ac:dyDescent="0.25">
      <c r="B5" s="1" t="s">
        <v>29</v>
      </c>
    </row>
    <row r="6" spans="2:6" x14ac:dyDescent="0.25">
      <c r="B6" s="2" t="s">
        <v>32</v>
      </c>
      <c r="E6" s="3">
        <v>5.0000000000000001E-3</v>
      </c>
      <c r="F6" s="4">
        <v>0.06</v>
      </c>
    </row>
    <row r="7" spans="2:6" x14ac:dyDescent="0.25">
      <c r="B7" s="2" t="s">
        <v>32</v>
      </c>
      <c r="F7" s="4"/>
    </row>
    <row r="8" spans="2:6" x14ac:dyDescent="0.25">
      <c r="B8" s="2" t="s">
        <v>32</v>
      </c>
      <c r="F8" s="4"/>
    </row>
    <row r="9" spans="2:6" x14ac:dyDescent="0.25">
      <c r="B9" s="2" t="s">
        <v>33</v>
      </c>
      <c r="E9" s="3">
        <v>5.0000000000000001E-3</v>
      </c>
      <c r="F9" s="4">
        <v>0.06</v>
      </c>
    </row>
    <row r="10" spans="2:6" x14ac:dyDescent="0.25">
      <c r="B10" s="2" t="s">
        <v>33</v>
      </c>
      <c r="F10" s="4"/>
    </row>
    <row r="11" spans="2:6" x14ac:dyDescent="0.25">
      <c r="B11" s="2" t="s">
        <v>33</v>
      </c>
      <c r="E11" s="3">
        <v>5.0000000000000001E-3</v>
      </c>
      <c r="F11" s="4">
        <v>0.06</v>
      </c>
    </row>
    <row r="12" spans="2:6" x14ac:dyDescent="0.25">
      <c r="B12" s="2" t="s">
        <v>34</v>
      </c>
      <c r="F12" s="4"/>
    </row>
    <row r="13" spans="2:6" x14ac:dyDescent="0.25">
      <c r="B13" s="2" t="s">
        <v>34</v>
      </c>
      <c r="F13" s="4"/>
    </row>
    <row r="14" spans="2:6" x14ac:dyDescent="0.25">
      <c r="B14" s="2" t="s">
        <v>34</v>
      </c>
      <c r="F14" s="4"/>
    </row>
    <row r="15" spans="2:6" x14ac:dyDescent="0.25">
      <c r="B15" s="2" t="s">
        <v>35</v>
      </c>
      <c r="E15" s="5">
        <v>0.05</v>
      </c>
      <c r="F15" s="4">
        <v>0.06</v>
      </c>
    </row>
    <row r="16" spans="2:6" x14ac:dyDescent="0.25">
      <c r="B16" s="2" t="s">
        <v>35</v>
      </c>
      <c r="E16" s="5">
        <v>0.05</v>
      </c>
      <c r="F16" s="4">
        <v>0.06</v>
      </c>
    </row>
    <row r="17" spans="2:6" x14ac:dyDescent="0.25">
      <c r="B17" s="2" t="s">
        <v>35</v>
      </c>
      <c r="F17" s="4"/>
    </row>
    <row r="18" spans="2:6" x14ac:dyDescent="0.25">
      <c r="B18" s="2" t="s">
        <v>35</v>
      </c>
      <c r="F18" s="4"/>
    </row>
    <row r="19" spans="2:6" x14ac:dyDescent="0.25">
      <c r="B19" s="2" t="s">
        <v>36</v>
      </c>
      <c r="F19" s="4"/>
    </row>
    <row r="20" spans="2:6" x14ac:dyDescent="0.25">
      <c r="B20" s="2" t="s">
        <v>37</v>
      </c>
      <c r="F20" s="4"/>
    </row>
    <row r="21" spans="2:6" x14ac:dyDescent="0.25">
      <c r="B21" s="2" t="s">
        <v>38</v>
      </c>
      <c r="E21" s="5">
        <v>0.4</v>
      </c>
      <c r="F21" s="4">
        <v>0.04</v>
      </c>
    </row>
    <row r="22" spans="2:6" x14ac:dyDescent="0.25">
      <c r="B22" s="2" t="s">
        <v>38</v>
      </c>
      <c r="F22" s="4"/>
    </row>
    <row r="23" spans="2:6" x14ac:dyDescent="0.25">
      <c r="B23" s="2" t="s">
        <v>38</v>
      </c>
      <c r="E23" s="5">
        <v>0.4</v>
      </c>
      <c r="F23" s="4">
        <v>0.04</v>
      </c>
    </row>
    <row r="24" spans="2:6" x14ac:dyDescent="0.25">
      <c r="B24" s="2"/>
      <c r="F24" s="4"/>
    </row>
    <row r="25" spans="2:6" x14ac:dyDescent="0.25">
      <c r="B25" s="2" t="s">
        <v>39</v>
      </c>
      <c r="F25" s="4"/>
    </row>
    <row r="26" spans="2:6" x14ac:dyDescent="0.25">
      <c r="B26" s="2" t="s">
        <v>40</v>
      </c>
      <c r="F26" s="4"/>
    </row>
    <row r="27" spans="2:6" x14ac:dyDescent="0.25">
      <c r="B27" s="2" t="s">
        <v>41</v>
      </c>
      <c r="E27" s="5">
        <v>0.4</v>
      </c>
      <c r="F27" s="4">
        <v>0.04</v>
      </c>
    </row>
    <row r="28" spans="2:6" x14ac:dyDescent="0.25">
      <c r="B28" s="2" t="s">
        <v>42</v>
      </c>
      <c r="F28" s="4"/>
    </row>
    <row r="29" spans="2:6" x14ac:dyDescent="0.25">
      <c r="B29" s="2" t="s">
        <v>43</v>
      </c>
      <c r="E29" s="5">
        <v>0.4</v>
      </c>
      <c r="F29" s="4">
        <v>0.04</v>
      </c>
    </row>
    <row r="30" spans="2:6" x14ac:dyDescent="0.25">
      <c r="B30" s="2" t="s">
        <v>44</v>
      </c>
      <c r="E30" s="5">
        <v>0.2</v>
      </c>
      <c r="F30" s="4">
        <v>7.0000000000000007E-2</v>
      </c>
    </row>
    <row r="31" spans="2:6" x14ac:dyDescent="0.25">
      <c r="B31" s="2" t="s">
        <v>45</v>
      </c>
      <c r="E31" s="5">
        <v>0.2</v>
      </c>
      <c r="F31" s="4">
        <v>0.09</v>
      </c>
    </row>
    <row r="32" spans="2:6" x14ac:dyDescent="0.25">
      <c r="B32" s="2" t="s">
        <v>46</v>
      </c>
      <c r="F32" s="4"/>
    </row>
    <row r="33" spans="2:6" x14ac:dyDescent="0.25">
      <c r="B33" s="2" t="s">
        <v>46</v>
      </c>
      <c r="F33" s="4"/>
    </row>
    <row r="34" spans="2:6" x14ac:dyDescent="0.25">
      <c r="B34" s="2" t="s">
        <v>46</v>
      </c>
      <c r="F34" s="4"/>
    </row>
    <row r="35" spans="2:6" x14ac:dyDescent="0.25">
      <c r="B35" s="2"/>
      <c r="F35" s="4"/>
    </row>
    <row r="36" spans="2:6" x14ac:dyDescent="0.25">
      <c r="B36" s="1" t="s">
        <v>47</v>
      </c>
      <c r="E36" s="5">
        <v>0.95</v>
      </c>
      <c r="F36" s="4">
        <v>0.01</v>
      </c>
    </row>
    <row r="37" spans="2:6" x14ac:dyDescent="0.25">
      <c r="B37" s="1" t="s">
        <v>48</v>
      </c>
      <c r="E37" s="3">
        <v>1.4999999999999999E-2</v>
      </c>
      <c r="F37" s="4">
        <v>0.12</v>
      </c>
    </row>
    <row r="38" spans="2:6" x14ac:dyDescent="0.25">
      <c r="E38" s="6"/>
      <c r="F38" s="4"/>
    </row>
    <row r="39" spans="2:6" x14ac:dyDescent="0.25">
      <c r="B39" t="s">
        <v>49</v>
      </c>
      <c r="E39" s="5">
        <v>0.95</v>
      </c>
      <c r="F39" s="4">
        <v>0.7</v>
      </c>
    </row>
    <row r="40" spans="2:6" x14ac:dyDescent="0.25">
      <c r="B40" t="s">
        <v>50</v>
      </c>
      <c r="E40" s="6"/>
      <c r="F40" s="4"/>
    </row>
    <row r="41" spans="2:6" x14ac:dyDescent="0.25">
      <c r="B41" t="s">
        <v>51</v>
      </c>
      <c r="E41" s="6"/>
      <c r="F41" s="4"/>
    </row>
    <row r="42" spans="2:6" x14ac:dyDescent="0.25">
      <c r="E42" s="6"/>
      <c r="F42" s="4"/>
    </row>
    <row r="43" spans="2:6" x14ac:dyDescent="0.25">
      <c r="F43" s="4"/>
    </row>
    <row r="44" spans="2:6" x14ac:dyDescent="0.25">
      <c r="B44" t="s">
        <v>52</v>
      </c>
      <c r="F44" s="4"/>
    </row>
    <row r="45" spans="2:6" x14ac:dyDescent="0.25">
      <c r="B45" t="s">
        <v>53</v>
      </c>
      <c r="F45" s="4"/>
    </row>
    <row r="46" spans="2:6" x14ac:dyDescent="0.25">
      <c r="B46" t="s">
        <v>54</v>
      </c>
      <c r="F46" s="4"/>
    </row>
    <row r="47" spans="2:6" x14ac:dyDescent="0.25">
      <c r="B47" t="s">
        <v>55</v>
      </c>
      <c r="F47" s="4"/>
    </row>
    <row r="48" spans="2:6" x14ac:dyDescent="0.25">
      <c r="B48" t="s">
        <v>56</v>
      </c>
      <c r="F48" s="4"/>
    </row>
    <row r="49" spans="2:6" x14ac:dyDescent="0.25">
      <c r="B49" t="s">
        <v>57</v>
      </c>
      <c r="F49" s="4"/>
    </row>
    <row r="50" spans="2:6" x14ac:dyDescent="0.25">
      <c r="B50" t="s">
        <v>58</v>
      </c>
      <c r="F50" s="4"/>
    </row>
    <row r="52" spans="2:6" x14ac:dyDescent="0.25">
      <c r="B52" t="s">
        <v>0</v>
      </c>
      <c r="E52" s="5">
        <v>0.8</v>
      </c>
      <c r="F52" s="4">
        <v>0.28999999999999998</v>
      </c>
    </row>
    <row r="53" spans="2:6" x14ac:dyDescent="0.25">
      <c r="B53" t="s">
        <v>59</v>
      </c>
    </row>
    <row r="55" spans="2:6" x14ac:dyDescent="0.25">
      <c r="B55" s="1" t="s">
        <v>60</v>
      </c>
    </row>
    <row r="62" spans="2:6" x14ac:dyDescent="0.25">
      <c r="B62" t="s">
        <v>61</v>
      </c>
    </row>
    <row r="64" spans="2:6" x14ac:dyDescent="0.25">
      <c r="B64" s="1" t="s">
        <v>62</v>
      </c>
    </row>
    <row r="65" spans="2:6" x14ac:dyDescent="0.25">
      <c r="B65" t="s">
        <v>8</v>
      </c>
      <c r="E65" s="5">
        <v>0.4</v>
      </c>
      <c r="F65" s="7">
        <v>0.85</v>
      </c>
    </row>
    <row r="70" spans="2:6" x14ac:dyDescent="0.25">
      <c r="B70" t="s">
        <v>63</v>
      </c>
    </row>
    <row r="72" spans="2:6" x14ac:dyDescent="0.25">
      <c r="B72" s="1" t="s">
        <v>64</v>
      </c>
    </row>
    <row r="74" spans="2:6" x14ac:dyDescent="0.25">
      <c r="B74" t="s">
        <v>5</v>
      </c>
      <c r="E74" s="5">
        <v>0</v>
      </c>
      <c r="F74" s="7">
        <v>0.69</v>
      </c>
    </row>
    <row r="75" spans="2:6" x14ac:dyDescent="0.25">
      <c r="B75" t="s">
        <v>4</v>
      </c>
      <c r="E75" s="5">
        <v>7.0000000000000007E-2</v>
      </c>
      <c r="F75" s="7">
        <v>4.0999999999999996</v>
      </c>
    </row>
    <row r="76" spans="2:6" x14ac:dyDescent="0.25">
      <c r="B76" t="s">
        <v>3</v>
      </c>
      <c r="E76" s="5">
        <v>7.0000000000000007E-2</v>
      </c>
      <c r="F76" s="7">
        <v>5</v>
      </c>
    </row>
    <row r="78" spans="2:6" x14ac:dyDescent="0.25">
      <c r="B78" t="s">
        <v>65</v>
      </c>
      <c r="E78" s="5">
        <v>0.5</v>
      </c>
      <c r="F78" s="7">
        <v>3.5000000000000003E-2</v>
      </c>
    </row>
    <row r="79" spans="2:6" x14ac:dyDescent="0.25">
      <c r="B79" t="s">
        <v>66</v>
      </c>
      <c r="F79" s="7">
        <v>0.65</v>
      </c>
    </row>
    <row r="80" spans="2:6" x14ac:dyDescent="0.25">
      <c r="B80" s="2" t="s">
        <v>7</v>
      </c>
      <c r="E80" s="5">
        <v>0.15</v>
      </c>
      <c r="F80" s="7">
        <v>0.04</v>
      </c>
    </row>
    <row r="89" spans="2:6" x14ac:dyDescent="0.25">
      <c r="B89" t="s">
        <v>67</v>
      </c>
    </row>
    <row r="91" spans="2:6" x14ac:dyDescent="0.25">
      <c r="B91" s="1" t="s">
        <v>68</v>
      </c>
    </row>
    <row r="93" spans="2:6" x14ac:dyDescent="0.25">
      <c r="B93" t="s">
        <v>2</v>
      </c>
      <c r="E93" s="5">
        <v>0.18</v>
      </c>
      <c r="F93" s="7">
        <v>0.85</v>
      </c>
    </row>
    <row r="94" spans="2:6" x14ac:dyDescent="0.25">
      <c r="B94" t="s">
        <v>6</v>
      </c>
      <c r="E94" s="5">
        <v>0.18</v>
      </c>
      <c r="F94" s="7">
        <v>0.87</v>
      </c>
    </row>
    <row r="95" spans="2:6" x14ac:dyDescent="0.25">
      <c r="B95" t="s">
        <v>1</v>
      </c>
      <c r="E95" s="5">
        <v>0.05</v>
      </c>
      <c r="F95" s="7">
        <v>5.85</v>
      </c>
    </row>
    <row r="100" spans="2:9" ht="15.75" thickBot="1" x14ac:dyDescent="0.3">
      <c r="B100" s="1" t="s">
        <v>69</v>
      </c>
    </row>
    <row r="101" spans="2:9" x14ac:dyDescent="0.25">
      <c r="B101" s="8" t="s">
        <v>70</v>
      </c>
      <c r="F101" s="4">
        <v>8.6999999999999993</v>
      </c>
      <c r="I101" s="9">
        <v>70</v>
      </c>
    </row>
    <row r="102" spans="2:9" x14ac:dyDescent="0.25">
      <c r="B102" s="10" t="s">
        <v>71</v>
      </c>
      <c r="F102" s="4">
        <v>0.2</v>
      </c>
      <c r="I102" s="11">
        <v>1.6</v>
      </c>
    </row>
    <row r="103" spans="2:9" x14ac:dyDescent="0.25">
      <c r="B103" s="10" t="s">
        <v>72</v>
      </c>
      <c r="F103" s="4">
        <v>0.26</v>
      </c>
      <c r="I103" s="11">
        <v>2.1</v>
      </c>
    </row>
    <row r="104" spans="2:9" x14ac:dyDescent="0.25">
      <c r="B104" s="10" t="s">
        <v>73</v>
      </c>
      <c r="F104" s="4">
        <v>0.15</v>
      </c>
      <c r="I104" s="11">
        <v>1.2</v>
      </c>
    </row>
    <row r="105" spans="2:9" x14ac:dyDescent="0.25">
      <c r="B105" s="10" t="s">
        <v>74</v>
      </c>
      <c r="F105" s="4">
        <v>0.87</v>
      </c>
      <c r="I105" s="11">
        <v>7</v>
      </c>
    </row>
    <row r="106" spans="2:9" x14ac:dyDescent="0.25">
      <c r="B106" s="10" t="s">
        <v>75</v>
      </c>
      <c r="F106" s="4">
        <v>14.91</v>
      </c>
      <c r="I106" s="11">
        <v>120</v>
      </c>
    </row>
    <row r="107" spans="2:9" x14ac:dyDescent="0.25">
      <c r="B107" s="10" t="s">
        <v>76</v>
      </c>
      <c r="F107" s="4">
        <v>2.2400000000000002</v>
      </c>
      <c r="I107" s="11">
        <v>18</v>
      </c>
    </row>
    <row r="108" spans="2:9" x14ac:dyDescent="0.25">
      <c r="B108" s="10" t="s">
        <v>77</v>
      </c>
      <c r="F108" s="4">
        <v>0.47</v>
      </c>
      <c r="I108" s="11">
        <v>3.8</v>
      </c>
    </row>
    <row r="109" spans="2:9" x14ac:dyDescent="0.25">
      <c r="B109" s="10" t="s">
        <v>78</v>
      </c>
      <c r="F109" s="4">
        <v>0.31</v>
      </c>
      <c r="I109" s="11">
        <v>2.5</v>
      </c>
    </row>
    <row r="110" spans="2:9" x14ac:dyDescent="0.25">
      <c r="B110" s="10" t="s">
        <v>79</v>
      </c>
      <c r="F110" s="4">
        <v>0.16</v>
      </c>
      <c r="I110" s="11">
        <v>1.3</v>
      </c>
    </row>
    <row r="111" spans="2:9" x14ac:dyDescent="0.25">
      <c r="B111" s="10" t="s">
        <v>80</v>
      </c>
      <c r="F111" s="4">
        <v>0.05</v>
      </c>
      <c r="I111" s="11">
        <v>0.4</v>
      </c>
    </row>
    <row r="112" spans="2:9" x14ac:dyDescent="0.25">
      <c r="B112" s="10" t="s">
        <v>81</v>
      </c>
      <c r="F112" s="4">
        <v>0.16</v>
      </c>
      <c r="I112" s="11">
        <v>1.3</v>
      </c>
    </row>
    <row r="113" spans="2:9" x14ac:dyDescent="0.25">
      <c r="B113" s="10" t="s">
        <v>82</v>
      </c>
      <c r="F113" s="4">
        <v>0.31</v>
      </c>
      <c r="I113" s="11">
        <v>2.5</v>
      </c>
    </row>
    <row r="114" spans="2:9" ht="15.75" thickBot="1" x14ac:dyDescent="0.3">
      <c r="B114" s="12" t="s">
        <v>83</v>
      </c>
      <c r="F114" s="4">
        <v>0.52</v>
      </c>
      <c r="I114" s="13">
        <v>4.2</v>
      </c>
    </row>
    <row r="122" spans="2:9" x14ac:dyDescent="0.25">
      <c r="B122" t="s">
        <v>84</v>
      </c>
    </row>
  </sheetData>
  <pageMargins left="0.75" right="0.75" top="1" bottom="1" header="0.5" footer="0.5"/>
  <pageSetup paperSize="9" orientation="portrait" horizontalDpi="4294967292" verticalDpi="4294967292"/>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Summary</vt:lpstr>
      <vt:lpstr>Budget for NGO</vt:lpstr>
      <vt:lpstr>GenAssumptions</vt:lpstr>
      <vt:lpstr>Services&amp;goods</vt:lpstr>
      <vt:lpstr>Support and Dev.</vt:lpstr>
      <vt:lpstr>Support and Dev. (2)</vt:lpstr>
      <vt:lpstr>Commodities</vt:lpstr>
      <vt:lpstr>Лист1</vt:lpstr>
      <vt:lpstr>Commodities</vt:lpstr>
      <vt:lpstr>Staff</vt:lpstr>
      <vt:lpstr>Staff_1</vt:lpstr>
      <vt:lpstr>Staff1</vt:lpstr>
      <vt:lpstr>YN</vt:lpstr>
      <vt:lpstr>'Services&amp;goods'!Заголовки_для_печати</vt:lpstr>
      <vt:lpstr>'Budget for NGO'!Область_печати</vt:lpstr>
      <vt:lpstr>'Services&amp;goods'!Область_печати</vt:lpstr>
    </vt:vector>
  </TitlesOfParts>
  <Company>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boyko</dc:creator>
  <cp:lastModifiedBy>Елена Романяк</cp:lastModifiedBy>
  <cp:lastPrinted>2014-11-16T16:53:13Z</cp:lastPrinted>
  <dcterms:created xsi:type="dcterms:W3CDTF">2014-07-28T07:56:49Z</dcterms:created>
  <dcterms:modified xsi:type="dcterms:W3CDTF">2020-08-23T20:15:27Z</dcterms:modified>
</cp:coreProperties>
</file>